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firstSheet="3" activeTab="8"/>
  </bookViews>
  <sheets>
    <sheet name="Volume" sheetId="1" r:id="rId1"/>
    <sheet name="DPR" sheetId="2" r:id="rId2"/>
    <sheet name="Cash Flow" sheetId="3" r:id="rId3"/>
    <sheet name="Total Assets" sheetId="4" r:id="rId4"/>
    <sheet name="ROA" sheetId="5" r:id="rId5"/>
    <sheet name="Sales Growth" sheetId="6" r:id="rId6"/>
    <sheet name="Investment" sheetId="7" r:id="rId7"/>
    <sheet name="Leverage" sheetId="8" r:id="rId8"/>
    <sheet name="Kompilasi Data" sheetId="9" r:id="rId9"/>
    <sheet name="Sheet1" sheetId="12" r:id="rId10"/>
    <sheet name="Sheet2" sheetId="13" r:id="rId1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8" i="12" l="1"/>
  <c r="N207" i="12"/>
  <c r="N206" i="12"/>
  <c r="N205" i="12"/>
  <c r="N204" i="12"/>
  <c r="N203" i="12"/>
  <c r="N202" i="12"/>
  <c r="N201" i="12"/>
  <c r="N200" i="12"/>
  <c r="N199" i="12"/>
  <c r="N198" i="12"/>
  <c r="N197" i="12"/>
  <c r="N196" i="12"/>
  <c r="N195" i="12"/>
  <c r="N194" i="12"/>
  <c r="N193" i="12"/>
  <c r="N192" i="12"/>
  <c r="N191" i="12"/>
  <c r="H166" i="12"/>
  <c r="P166" i="12" s="1"/>
  <c r="H165" i="12"/>
  <c r="P165" i="12" s="1"/>
  <c r="H164" i="12"/>
  <c r="P164" i="12" s="1"/>
  <c r="H163" i="12"/>
  <c r="P163" i="12" s="1"/>
  <c r="F2" i="12"/>
  <c r="N2" i="12" s="1"/>
  <c r="F54" i="12"/>
  <c r="N54" i="12" s="1"/>
  <c r="F53" i="12"/>
  <c r="N53" i="12" s="1"/>
  <c r="F52" i="12"/>
  <c r="N52" i="12" s="1"/>
  <c r="F51" i="12"/>
  <c r="N51" i="12" s="1"/>
  <c r="F124" i="12"/>
  <c r="N124" i="12" s="1"/>
  <c r="H7" i="3" l="1"/>
  <c r="H190" i="12"/>
  <c r="P190" i="12" s="1"/>
  <c r="H189" i="12"/>
  <c r="P189" i="12" s="1"/>
  <c r="H188" i="12"/>
  <c r="P188" i="12" s="1"/>
  <c r="H187" i="12"/>
  <c r="P187" i="12" s="1"/>
  <c r="H186" i="12"/>
  <c r="P186" i="12" s="1"/>
  <c r="H185" i="12"/>
  <c r="P185" i="12" s="1"/>
  <c r="H184" i="12"/>
  <c r="P184" i="12" s="1"/>
  <c r="H183" i="12"/>
  <c r="P183" i="12" s="1"/>
  <c r="H182" i="12"/>
  <c r="P182" i="12" s="1"/>
  <c r="H181" i="12"/>
  <c r="P181" i="12" s="1"/>
  <c r="H180" i="12"/>
  <c r="P180" i="12" s="1"/>
  <c r="H179" i="12"/>
  <c r="P179" i="12" s="1"/>
  <c r="H178" i="12"/>
  <c r="P178" i="12" s="1"/>
  <c r="H177" i="12"/>
  <c r="P177" i="12" s="1"/>
  <c r="H176" i="12"/>
  <c r="P176" i="12" s="1"/>
  <c r="H175" i="12"/>
  <c r="P175" i="12" s="1"/>
  <c r="H174" i="12"/>
  <c r="P174" i="12" s="1"/>
  <c r="H173" i="12"/>
  <c r="P173" i="12" s="1"/>
  <c r="H172" i="12"/>
  <c r="P172" i="12" s="1"/>
  <c r="H171" i="12"/>
  <c r="P171" i="12" s="1"/>
  <c r="H170" i="12"/>
  <c r="P170" i="12" s="1"/>
  <c r="H169" i="12"/>
  <c r="P169" i="12" s="1"/>
  <c r="H168" i="12"/>
  <c r="P168" i="12" s="1"/>
  <c r="H167" i="12"/>
  <c r="P167" i="12" s="1"/>
  <c r="H142" i="12"/>
  <c r="P142" i="12" s="1"/>
  <c r="H141" i="12"/>
  <c r="P141" i="12" s="1"/>
  <c r="H140" i="12"/>
  <c r="P140" i="12" s="1"/>
  <c r="H139" i="12"/>
  <c r="P139" i="12" s="1"/>
  <c r="H162" i="12"/>
  <c r="P162" i="12" s="1"/>
  <c r="H161" i="12"/>
  <c r="P161" i="12" s="1"/>
  <c r="H160" i="12"/>
  <c r="P160" i="12" s="1"/>
  <c r="H159" i="12"/>
  <c r="P159" i="12" s="1"/>
  <c r="H158" i="12"/>
  <c r="P158" i="12" s="1"/>
  <c r="H157" i="12"/>
  <c r="P157" i="12" s="1"/>
  <c r="H156" i="12"/>
  <c r="P156" i="12" s="1"/>
  <c r="H155" i="12"/>
  <c r="P155" i="12" s="1"/>
  <c r="H154" i="12"/>
  <c r="P154" i="12" s="1"/>
  <c r="H153" i="12"/>
  <c r="P153" i="12" s="1"/>
  <c r="H152" i="12"/>
  <c r="P152" i="12" s="1"/>
  <c r="H151" i="12"/>
  <c r="P151" i="12" s="1"/>
  <c r="H150" i="12"/>
  <c r="P150" i="12" s="1"/>
  <c r="H149" i="12"/>
  <c r="P149" i="12" s="1"/>
  <c r="H148" i="12"/>
  <c r="P148" i="12" s="1"/>
  <c r="H147" i="12"/>
  <c r="P147" i="12" s="1"/>
  <c r="H146" i="12"/>
  <c r="P146" i="12" s="1"/>
  <c r="H145" i="12"/>
  <c r="P145" i="12" s="1"/>
  <c r="H144" i="12"/>
  <c r="P144" i="12" s="1"/>
  <c r="H143" i="12"/>
  <c r="P143" i="12" s="1"/>
  <c r="H138" i="12"/>
  <c r="P138" i="12" s="1"/>
  <c r="H137" i="12"/>
  <c r="P137" i="12" s="1"/>
  <c r="H136" i="12"/>
  <c r="P136" i="12" s="1"/>
  <c r="H135" i="12"/>
  <c r="P135" i="12" s="1"/>
  <c r="H134" i="12"/>
  <c r="P134" i="12" s="1"/>
  <c r="H133" i="12"/>
  <c r="P133" i="12" s="1"/>
  <c r="H132" i="12"/>
  <c r="P132" i="12" s="1"/>
  <c r="H131" i="12"/>
  <c r="P131" i="12" s="1"/>
  <c r="H130" i="12"/>
  <c r="P130" i="12" s="1"/>
  <c r="H129" i="12"/>
  <c r="P129" i="12" s="1"/>
  <c r="H128" i="12"/>
  <c r="P128" i="12" s="1"/>
  <c r="H127" i="12"/>
  <c r="P127" i="12" s="1"/>
  <c r="H126" i="12"/>
  <c r="P126" i="12" s="1"/>
  <c r="H125" i="12"/>
  <c r="P125" i="12" s="1"/>
  <c r="H124" i="12"/>
  <c r="P124" i="12" s="1"/>
  <c r="H123" i="12"/>
  <c r="P123" i="12" s="1"/>
  <c r="H122" i="12"/>
  <c r="P122" i="12" s="1"/>
  <c r="H121" i="12"/>
  <c r="P121" i="12" s="1"/>
  <c r="H120" i="12"/>
  <c r="P120" i="12" s="1"/>
  <c r="H119" i="12"/>
  <c r="P119" i="12" s="1"/>
  <c r="H118" i="12"/>
  <c r="P118" i="12" s="1"/>
  <c r="H117" i="12"/>
  <c r="P117" i="12" s="1"/>
  <c r="H116" i="12"/>
  <c r="P116" i="12" s="1"/>
  <c r="H115" i="12"/>
  <c r="P115" i="12" s="1"/>
  <c r="H114" i="12"/>
  <c r="P114" i="12" s="1"/>
  <c r="H113" i="12"/>
  <c r="P113" i="12" s="1"/>
  <c r="H112" i="12"/>
  <c r="P112" i="12" s="1"/>
  <c r="H111" i="12"/>
  <c r="P111" i="12" s="1"/>
  <c r="H110" i="12"/>
  <c r="P110" i="12" s="1"/>
  <c r="H109" i="12"/>
  <c r="P109" i="12" s="1"/>
  <c r="H108" i="12"/>
  <c r="P108" i="12" s="1"/>
  <c r="H107" i="12"/>
  <c r="P107" i="12" s="1"/>
  <c r="H106" i="12"/>
  <c r="P106" i="12" s="1"/>
  <c r="H105" i="12"/>
  <c r="P105" i="12" s="1"/>
  <c r="H104" i="12"/>
  <c r="P104" i="12" s="1"/>
  <c r="H103" i="12"/>
  <c r="P103" i="12" s="1"/>
  <c r="H102" i="12"/>
  <c r="P102" i="12" s="1"/>
  <c r="H101" i="12"/>
  <c r="P101" i="12" s="1"/>
  <c r="H100" i="12"/>
  <c r="P100" i="12" s="1"/>
  <c r="H99" i="12"/>
  <c r="P99" i="12" s="1"/>
  <c r="H98" i="12"/>
  <c r="P98" i="12" s="1"/>
  <c r="H97" i="12"/>
  <c r="P97" i="12" s="1"/>
  <c r="H96" i="12"/>
  <c r="P96" i="12" s="1"/>
  <c r="H95" i="12"/>
  <c r="P95" i="12" s="1"/>
  <c r="H94" i="12"/>
  <c r="P94" i="12" s="1"/>
  <c r="H93" i="12"/>
  <c r="P93" i="12" s="1"/>
  <c r="H92" i="12"/>
  <c r="P92" i="12" s="1"/>
  <c r="H91" i="12"/>
  <c r="P91" i="12" s="1"/>
  <c r="H90" i="12"/>
  <c r="P90" i="12" s="1"/>
  <c r="H89" i="12"/>
  <c r="P89" i="12" s="1"/>
  <c r="H88" i="12"/>
  <c r="P88" i="12" s="1"/>
  <c r="H87" i="12"/>
  <c r="P87" i="12" s="1"/>
  <c r="H86" i="12"/>
  <c r="P86" i="12" s="1"/>
  <c r="H85" i="12"/>
  <c r="P85" i="12" s="1"/>
  <c r="H84" i="12"/>
  <c r="P84" i="12" s="1"/>
  <c r="H83" i="12"/>
  <c r="P83" i="12" s="1"/>
  <c r="H82" i="12"/>
  <c r="P82" i="12" s="1"/>
  <c r="H81" i="12"/>
  <c r="P81" i="12" s="1"/>
  <c r="H80" i="12"/>
  <c r="P80" i="12" s="1"/>
  <c r="H79" i="12"/>
  <c r="P79" i="12" s="1"/>
  <c r="H78" i="12"/>
  <c r="P78" i="12" s="1"/>
  <c r="H77" i="12"/>
  <c r="P77" i="12" s="1"/>
  <c r="H76" i="12"/>
  <c r="P76" i="12" s="1"/>
  <c r="H75" i="12"/>
  <c r="P75" i="12" s="1"/>
  <c r="H74" i="12"/>
  <c r="P74" i="12" s="1"/>
  <c r="H73" i="12"/>
  <c r="P73" i="12" s="1"/>
  <c r="H72" i="12"/>
  <c r="P72" i="12" s="1"/>
  <c r="H71" i="12"/>
  <c r="P71" i="12" s="1"/>
  <c r="H70" i="12"/>
  <c r="P70" i="12" s="1"/>
  <c r="H69" i="12"/>
  <c r="P69" i="12" s="1"/>
  <c r="H68" i="12"/>
  <c r="P68" i="12" s="1"/>
  <c r="H67" i="12"/>
  <c r="P67" i="12" s="1"/>
  <c r="H66" i="12"/>
  <c r="P66" i="12" s="1"/>
  <c r="H65" i="12"/>
  <c r="P65" i="12" s="1"/>
  <c r="H64" i="12"/>
  <c r="P64" i="12" s="1"/>
  <c r="H63" i="12"/>
  <c r="P63" i="12" s="1"/>
  <c r="H62" i="12"/>
  <c r="P62" i="12" s="1"/>
  <c r="H61" i="12"/>
  <c r="P61" i="12" s="1"/>
  <c r="H60" i="12"/>
  <c r="P60" i="12" s="1"/>
  <c r="H59" i="12"/>
  <c r="P59" i="12" s="1"/>
  <c r="H58" i="12"/>
  <c r="P58" i="12" s="1"/>
  <c r="H57" i="12"/>
  <c r="P57" i="12" s="1"/>
  <c r="H56" i="12"/>
  <c r="P56" i="12" s="1"/>
  <c r="H55" i="12"/>
  <c r="P55" i="12" s="1"/>
  <c r="H54" i="12"/>
  <c r="P54" i="12" s="1"/>
  <c r="H53" i="12"/>
  <c r="P53" i="12" s="1"/>
  <c r="H52" i="12"/>
  <c r="P52" i="12" s="1"/>
  <c r="H51" i="12"/>
  <c r="P51" i="12" s="1"/>
  <c r="H50" i="12"/>
  <c r="P50" i="12" s="1"/>
  <c r="H49" i="12"/>
  <c r="P49" i="12" s="1"/>
  <c r="H48" i="12"/>
  <c r="P48" i="12" s="1"/>
  <c r="H47" i="12"/>
  <c r="P47" i="12" s="1"/>
  <c r="H46" i="12"/>
  <c r="P46" i="12" s="1"/>
  <c r="H45" i="12"/>
  <c r="P45" i="12" s="1"/>
  <c r="H44" i="12"/>
  <c r="P44" i="12" s="1"/>
  <c r="H43" i="12"/>
  <c r="P43" i="12" s="1"/>
  <c r="H42" i="12"/>
  <c r="P42" i="12" s="1"/>
  <c r="H41" i="12"/>
  <c r="P41" i="12" s="1"/>
  <c r="H40" i="12"/>
  <c r="P40" i="12" s="1"/>
  <c r="H39" i="12"/>
  <c r="P39" i="12" s="1"/>
  <c r="H38" i="12"/>
  <c r="P38" i="12" s="1"/>
  <c r="H37" i="12"/>
  <c r="P37" i="12" s="1"/>
  <c r="H36" i="12"/>
  <c r="P36" i="12" s="1"/>
  <c r="H35" i="12"/>
  <c r="P35" i="12" s="1"/>
  <c r="H34" i="12"/>
  <c r="P34" i="12" s="1"/>
  <c r="H33" i="12"/>
  <c r="P33" i="12" s="1"/>
  <c r="H32" i="12"/>
  <c r="P32" i="12" s="1"/>
  <c r="H31" i="12"/>
  <c r="P31" i="12" s="1"/>
  <c r="H30" i="12"/>
  <c r="P30" i="12" s="1"/>
  <c r="H29" i="12"/>
  <c r="P29" i="12" s="1"/>
  <c r="H28" i="12"/>
  <c r="P28" i="12" s="1"/>
  <c r="H27" i="12"/>
  <c r="P27" i="12" s="1"/>
  <c r="H26" i="12"/>
  <c r="P26" i="12" s="1"/>
  <c r="H25" i="12"/>
  <c r="P25" i="12" s="1"/>
  <c r="H24" i="12"/>
  <c r="P24" i="12" s="1"/>
  <c r="H23" i="12"/>
  <c r="P23" i="12" s="1"/>
  <c r="H22" i="12"/>
  <c r="P22" i="12" s="1"/>
  <c r="H21" i="12"/>
  <c r="P21" i="12" s="1"/>
  <c r="H20" i="12"/>
  <c r="P20" i="12" s="1"/>
  <c r="H19" i="12"/>
  <c r="P19" i="12" s="1"/>
  <c r="H18" i="12"/>
  <c r="P18" i="12" s="1"/>
  <c r="H17" i="12"/>
  <c r="P17" i="12" s="1"/>
  <c r="H16" i="12"/>
  <c r="P16" i="12" s="1"/>
  <c r="H15" i="12"/>
  <c r="P15" i="12" s="1"/>
  <c r="H14" i="12"/>
  <c r="P14" i="12" s="1"/>
  <c r="H13" i="12"/>
  <c r="P13" i="12" s="1"/>
  <c r="H12" i="12"/>
  <c r="P12" i="12" s="1"/>
  <c r="H11" i="12"/>
  <c r="P11" i="12" s="1"/>
  <c r="H10" i="12"/>
  <c r="P10" i="12" s="1"/>
  <c r="H9" i="12"/>
  <c r="P9" i="12" s="1"/>
  <c r="H8" i="12"/>
  <c r="P8" i="12" s="1"/>
  <c r="H7" i="12"/>
  <c r="P7" i="12" s="1"/>
  <c r="H6" i="12"/>
  <c r="P6" i="12" s="1"/>
  <c r="H5" i="12"/>
  <c r="P5" i="12" s="1"/>
  <c r="H4" i="12"/>
  <c r="P4" i="12" s="1"/>
  <c r="H3" i="12"/>
  <c r="P3" i="12" s="1"/>
  <c r="H2" i="12"/>
  <c r="P2" i="12" s="1"/>
  <c r="G190" i="12"/>
  <c r="O190" i="12" s="1"/>
  <c r="F190" i="12"/>
  <c r="N190" i="12" s="1"/>
  <c r="E190" i="12"/>
  <c r="M190" i="12" s="1"/>
  <c r="D190" i="12"/>
  <c r="L190" i="12" s="1"/>
  <c r="C190" i="12"/>
  <c r="K190" i="12" s="1"/>
  <c r="B190" i="12"/>
  <c r="J190" i="12" s="1"/>
  <c r="G189" i="12"/>
  <c r="O189" i="12" s="1"/>
  <c r="F189" i="12"/>
  <c r="N189" i="12" s="1"/>
  <c r="E189" i="12"/>
  <c r="M189" i="12" s="1"/>
  <c r="D189" i="12"/>
  <c r="L189" i="12" s="1"/>
  <c r="C189" i="12"/>
  <c r="K189" i="12" s="1"/>
  <c r="B189" i="12"/>
  <c r="J189" i="12" s="1"/>
  <c r="G188" i="12"/>
  <c r="O188" i="12" s="1"/>
  <c r="F188" i="12"/>
  <c r="N188" i="12" s="1"/>
  <c r="E188" i="12"/>
  <c r="M188" i="12" s="1"/>
  <c r="D188" i="12"/>
  <c r="L188" i="12" s="1"/>
  <c r="C188" i="12"/>
  <c r="K188" i="12" s="1"/>
  <c r="B188" i="12"/>
  <c r="J188" i="12" s="1"/>
  <c r="G187" i="12"/>
  <c r="O187" i="12" s="1"/>
  <c r="F187" i="12"/>
  <c r="N187" i="12" s="1"/>
  <c r="E187" i="12"/>
  <c r="M187" i="12" s="1"/>
  <c r="D187" i="12"/>
  <c r="L187" i="12" s="1"/>
  <c r="C187" i="12"/>
  <c r="K187" i="12" s="1"/>
  <c r="B187" i="12"/>
  <c r="J187" i="12" s="1"/>
  <c r="G186" i="12"/>
  <c r="O186" i="12" s="1"/>
  <c r="F186" i="12"/>
  <c r="N186" i="12" s="1"/>
  <c r="E186" i="12"/>
  <c r="M186" i="12" s="1"/>
  <c r="D186" i="12"/>
  <c r="L186" i="12" s="1"/>
  <c r="C186" i="12"/>
  <c r="K186" i="12" s="1"/>
  <c r="B186" i="12"/>
  <c r="J186" i="12" s="1"/>
  <c r="G185" i="12"/>
  <c r="O185" i="12" s="1"/>
  <c r="F185" i="12"/>
  <c r="N185" i="12" s="1"/>
  <c r="E185" i="12"/>
  <c r="M185" i="12" s="1"/>
  <c r="D185" i="12"/>
  <c r="L185" i="12" s="1"/>
  <c r="C185" i="12"/>
  <c r="K185" i="12" s="1"/>
  <c r="B185" i="12"/>
  <c r="J185" i="12" s="1"/>
  <c r="G184" i="12"/>
  <c r="O184" i="12" s="1"/>
  <c r="F184" i="12"/>
  <c r="N184" i="12" s="1"/>
  <c r="E184" i="12"/>
  <c r="M184" i="12" s="1"/>
  <c r="D184" i="12"/>
  <c r="L184" i="12" s="1"/>
  <c r="C184" i="12"/>
  <c r="K184" i="12" s="1"/>
  <c r="B184" i="12"/>
  <c r="J184" i="12" s="1"/>
  <c r="G183" i="12"/>
  <c r="O183" i="12" s="1"/>
  <c r="F183" i="12"/>
  <c r="N183" i="12" s="1"/>
  <c r="E183" i="12"/>
  <c r="M183" i="12" s="1"/>
  <c r="D183" i="12"/>
  <c r="L183" i="12" s="1"/>
  <c r="C183" i="12"/>
  <c r="K183" i="12" s="1"/>
  <c r="B183" i="12"/>
  <c r="J183" i="12" s="1"/>
  <c r="G182" i="12"/>
  <c r="O182" i="12" s="1"/>
  <c r="F182" i="12"/>
  <c r="N182" i="12" s="1"/>
  <c r="E182" i="12"/>
  <c r="M182" i="12" s="1"/>
  <c r="D182" i="12"/>
  <c r="L182" i="12" s="1"/>
  <c r="C182" i="12"/>
  <c r="K182" i="12" s="1"/>
  <c r="B182" i="12"/>
  <c r="J182" i="12" s="1"/>
  <c r="G181" i="12"/>
  <c r="O181" i="12" s="1"/>
  <c r="F181" i="12"/>
  <c r="N181" i="12" s="1"/>
  <c r="E181" i="12"/>
  <c r="M181" i="12" s="1"/>
  <c r="D181" i="12"/>
  <c r="L181" i="12" s="1"/>
  <c r="C181" i="12"/>
  <c r="K181" i="12" s="1"/>
  <c r="B181" i="12"/>
  <c r="J181" i="12" s="1"/>
  <c r="G180" i="12"/>
  <c r="O180" i="12" s="1"/>
  <c r="F180" i="12"/>
  <c r="N180" i="12" s="1"/>
  <c r="E180" i="12"/>
  <c r="M180" i="12" s="1"/>
  <c r="D180" i="12"/>
  <c r="L180" i="12" s="1"/>
  <c r="C180" i="12"/>
  <c r="K180" i="12" s="1"/>
  <c r="B180" i="12"/>
  <c r="J180" i="12" s="1"/>
  <c r="G179" i="12"/>
  <c r="O179" i="12" s="1"/>
  <c r="F179" i="12"/>
  <c r="N179" i="12" s="1"/>
  <c r="E179" i="12"/>
  <c r="M179" i="12" s="1"/>
  <c r="D179" i="12"/>
  <c r="L179" i="12" s="1"/>
  <c r="C179" i="12"/>
  <c r="K179" i="12" s="1"/>
  <c r="B179" i="12"/>
  <c r="J179" i="12" s="1"/>
  <c r="G178" i="12"/>
  <c r="O178" i="12" s="1"/>
  <c r="F178" i="12"/>
  <c r="N178" i="12" s="1"/>
  <c r="E178" i="12"/>
  <c r="M178" i="12" s="1"/>
  <c r="D178" i="12"/>
  <c r="L178" i="12" s="1"/>
  <c r="C178" i="12"/>
  <c r="K178" i="12" s="1"/>
  <c r="B178" i="12"/>
  <c r="J178" i="12" s="1"/>
  <c r="G177" i="12"/>
  <c r="O177" i="12" s="1"/>
  <c r="F177" i="12"/>
  <c r="N177" i="12" s="1"/>
  <c r="E177" i="12"/>
  <c r="M177" i="12" s="1"/>
  <c r="D177" i="12"/>
  <c r="L177" i="12" s="1"/>
  <c r="C177" i="12"/>
  <c r="K177" i="12" s="1"/>
  <c r="B177" i="12"/>
  <c r="J177" i="12" s="1"/>
  <c r="G176" i="12"/>
  <c r="O176" i="12" s="1"/>
  <c r="F176" i="12"/>
  <c r="N176" i="12" s="1"/>
  <c r="E176" i="12"/>
  <c r="M176" i="12" s="1"/>
  <c r="D176" i="12"/>
  <c r="L176" i="12" s="1"/>
  <c r="C176" i="12"/>
  <c r="K176" i="12" s="1"/>
  <c r="B176" i="12"/>
  <c r="J176" i="12" s="1"/>
  <c r="G175" i="12"/>
  <c r="O175" i="12" s="1"/>
  <c r="F175" i="12"/>
  <c r="N175" i="12" s="1"/>
  <c r="E175" i="12"/>
  <c r="M175" i="12" s="1"/>
  <c r="D175" i="12"/>
  <c r="L175" i="12" s="1"/>
  <c r="C175" i="12"/>
  <c r="K175" i="12" s="1"/>
  <c r="B175" i="12"/>
  <c r="J175" i="12" s="1"/>
  <c r="G174" i="12"/>
  <c r="O174" i="12" s="1"/>
  <c r="F174" i="12"/>
  <c r="N174" i="12" s="1"/>
  <c r="E174" i="12"/>
  <c r="M174" i="12" s="1"/>
  <c r="D174" i="12"/>
  <c r="L174" i="12" s="1"/>
  <c r="C174" i="12"/>
  <c r="K174" i="12" s="1"/>
  <c r="B174" i="12"/>
  <c r="J174" i="12" s="1"/>
  <c r="G173" i="12"/>
  <c r="O173" i="12" s="1"/>
  <c r="F173" i="12"/>
  <c r="N173" i="12" s="1"/>
  <c r="E173" i="12"/>
  <c r="M173" i="12" s="1"/>
  <c r="D173" i="12"/>
  <c r="L173" i="12" s="1"/>
  <c r="C173" i="12"/>
  <c r="K173" i="12" s="1"/>
  <c r="B173" i="12"/>
  <c r="J173" i="12" s="1"/>
  <c r="G172" i="12"/>
  <c r="O172" i="12" s="1"/>
  <c r="F172" i="12"/>
  <c r="N172" i="12" s="1"/>
  <c r="E172" i="12"/>
  <c r="M172" i="12" s="1"/>
  <c r="D172" i="12"/>
  <c r="L172" i="12" s="1"/>
  <c r="C172" i="12"/>
  <c r="K172" i="12" s="1"/>
  <c r="B172" i="12"/>
  <c r="J172" i="12" s="1"/>
  <c r="G171" i="12"/>
  <c r="O171" i="12" s="1"/>
  <c r="F171" i="12"/>
  <c r="N171" i="12" s="1"/>
  <c r="E171" i="12"/>
  <c r="M171" i="12" s="1"/>
  <c r="D171" i="12"/>
  <c r="L171" i="12" s="1"/>
  <c r="C171" i="12"/>
  <c r="K171" i="12" s="1"/>
  <c r="B171" i="12"/>
  <c r="J171" i="12" s="1"/>
  <c r="G170" i="12"/>
  <c r="O170" i="12" s="1"/>
  <c r="F170" i="12"/>
  <c r="N170" i="12" s="1"/>
  <c r="E170" i="12"/>
  <c r="M170" i="12" s="1"/>
  <c r="D170" i="12"/>
  <c r="L170" i="12" s="1"/>
  <c r="C170" i="12"/>
  <c r="K170" i="12" s="1"/>
  <c r="B170" i="12"/>
  <c r="J170" i="12" s="1"/>
  <c r="G169" i="12"/>
  <c r="O169" i="12" s="1"/>
  <c r="F169" i="12"/>
  <c r="N169" i="12" s="1"/>
  <c r="E169" i="12"/>
  <c r="M169" i="12" s="1"/>
  <c r="D169" i="12"/>
  <c r="L169" i="12" s="1"/>
  <c r="C169" i="12"/>
  <c r="K169" i="12" s="1"/>
  <c r="B169" i="12"/>
  <c r="J169" i="12" s="1"/>
  <c r="G168" i="12"/>
  <c r="O168" i="12" s="1"/>
  <c r="F168" i="12"/>
  <c r="N168" i="12" s="1"/>
  <c r="E168" i="12"/>
  <c r="M168" i="12" s="1"/>
  <c r="D168" i="12"/>
  <c r="L168" i="12" s="1"/>
  <c r="C168" i="12"/>
  <c r="K168" i="12" s="1"/>
  <c r="B168" i="12"/>
  <c r="J168" i="12" s="1"/>
  <c r="G167" i="12"/>
  <c r="O167" i="12" s="1"/>
  <c r="F167" i="12"/>
  <c r="N167" i="12" s="1"/>
  <c r="E167" i="12"/>
  <c r="M167" i="12" s="1"/>
  <c r="D167" i="12"/>
  <c r="L167" i="12" s="1"/>
  <c r="C167" i="12"/>
  <c r="K167" i="12" s="1"/>
  <c r="B167" i="12"/>
  <c r="J167" i="12" s="1"/>
  <c r="G166" i="12"/>
  <c r="O166" i="12" s="1"/>
  <c r="F166" i="12"/>
  <c r="N166" i="12" s="1"/>
  <c r="E166" i="12"/>
  <c r="M166" i="12" s="1"/>
  <c r="D166" i="12"/>
  <c r="L166" i="12" s="1"/>
  <c r="C166" i="12"/>
  <c r="K166" i="12" s="1"/>
  <c r="B166" i="12"/>
  <c r="J166" i="12" s="1"/>
  <c r="G165" i="12"/>
  <c r="O165" i="12" s="1"/>
  <c r="F165" i="12"/>
  <c r="N165" i="12" s="1"/>
  <c r="E165" i="12"/>
  <c r="M165" i="12" s="1"/>
  <c r="D165" i="12"/>
  <c r="L165" i="12" s="1"/>
  <c r="C165" i="12"/>
  <c r="K165" i="12" s="1"/>
  <c r="B165" i="12"/>
  <c r="J165" i="12" s="1"/>
  <c r="G164" i="12"/>
  <c r="O164" i="12" s="1"/>
  <c r="F164" i="12"/>
  <c r="N164" i="12" s="1"/>
  <c r="E164" i="12"/>
  <c r="M164" i="12" s="1"/>
  <c r="D164" i="12"/>
  <c r="L164" i="12" s="1"/>
  <c r="C164" i="12"/>
  <c r="K164" i="12" s="1"/>
  <c r="B164" i="12"/>
  <c r="J164" i="12" s="1"/>
  <c r="G163" i="12"/>
  <c r="O163" i="12" s="1"/>
  <c r="F163" i="12"/>
  <c r="N163" i="12" s="1"/>
  <c r="E163" i="12"/>
  <c r="M163" i="12" s="1"/>
  <c r="D163" i="12"/>
  <c r="L163" i="12" s="1"/>
  <c r="C163" i="12"/>
  <c r="K163" i="12" s="1"/>
  <c r="B163" i="12"/>
  <c r="J163" i="12" s="1"/>
  <c r="G162" i="12"/>
  <c r="O162" i="12" s="1"/>
  <c r="F162" i="12"/>
  <c r="N162" i="12" s="1"/>
  <c r="E162" i="12"/>
  <c r="M162" i="12" s="1"/>
  <c r="D162" i="12"/>
  <c r="L162" i="12" s="1"/>
  <c r="C162" i="12"/>
  <c r="K162" i="12" s="1"/>
  <c r="B162" i="12"/>
  <c r="J162" i="12" s="1"/>
  <c r="G161" i="12"/>
  <c r="O161" i="12" s="1"/>
  <c r="F161" i="12"/>
  <c r="N161" i="12" s="1"/>
  <c r="E161" i="12"/>
  <c r="M161" i="12" s="1"/>
  <c r="D161" i="12"/>
  <c r="L161" i="12" s="1"/>
  <c r="C161" i="12"/>
  <c r="K161" i="12" s="1"/>
  <c r="B161" i="12"/>
  <c r="J161" i="12" s="1"/>
  <c r="G160" i="12"/>
  <c r="O160" i="12" s="1"/>
  <c r="F160" i="12"/>
  <c r="N160" i="12" s="1"/>
  <c r="E160" i="12"/>
  <c r="M160" i="12" s="1"/>
  <c r="D160" i="12"/>
  <c r="L160" i="12" s="1"/>
  <c r="C160" i="12"/>
  <c r="K160" i="12" s="1"/>
  <c r="B160" i="12"/>
  <c r="J160" i="12" s="1"/>
  <c r="G159" i="12"/>
  <c r="O159" i="12" s="1"/>
  <c r="F159" i="12"/>
  <c r="N159" i="12" s="1"/>
  <c r="E159" i="12"/>
  <c r="M159" i="12" s="1"/>
  <c r="D159" i="12"/>
  <c r="L159" i="12" s="1"/>
  <c r="C159" i="12"/>
  <c r="K159" i="12" s="1"/>
  <c r="B159" i="12"/>
  <c r="J159" i="12" s="1"/>
  <c r="G158" i="12"/>
  <c r="O158" i="12" s="1"/>
  <c r="F158" i="12"/>
  <c r="N158" i="12" s="1"/>
  <c r="E158" i="12"/>
  <c r="M158" i="12" s="1"/>
  <c r="D158" i="12"/>
  <c r="L158" i="12" s="1"/>
  <c r="C158" i="12"/>
  <c r="K158" i="12" s="1"/>
  <c r="B158" i="12"/>
  <c r="J158" i="12" s="1"/>
  <c r="G157" i="12"/>
  <c r="O157" i="12" s="1"/>
  <c r="F157" i="12"/>
  <c r="N157" i="12" s="1"/>
  <c r="E157" i="12"/>
  <c r="M157" i="12" s="1"/>
  <c r="D157" i="12"/>
  <c r="L157" i="12" s="1"/>
  <c r="C157" i="12"/>
  <c r="K157" i="12" s="1"/>
  <c r="B157" i="12"/>
  <c r="J157" i="12" s="1"/>
  <c r="G156" i="12"/>
  <c r="O156" i="12" s="1"/>
  <c r="F156" i="12"/>
  <c r="N156" i="12" s="1"/>
  <c r="E156" i="12"/>
  <c r="M156" i="12" s="1"/>
  <c r="D156" i="12"/>
  <c r="L156" i="12" s="1"/>
  <c r="C156" i="12"/>
  <c r="K156" i="12" s="1"/>
  <c r="B156" i="12"/>
  <c r="J156" i="12" s="1"/>
  <c r="G155" i="12"/>
  <c r="O155" i="12" s="1"/>
  <c r="F155" i="12"/>
  <c r="N155" i="12" s="1"/>
  <c r="E155" i="12"/>
  <c r="M155" i="12" s="1"/>
  <c r="D155" i="12"/>
  <c r="L155" i="12" s="1"/>
  <c r="C155" i="12"/>
  <c r="K155" i="12" s="1"/>
  <c r="B155" i="12"/>
  <c r="J155" i="12" s="1"/>
  <c r="G154" i="12"/>
  <c r="O154" i="12" s="1"/>
  <c r="F154" i="12"/>
  <c r="N154" i="12" s="1"/>
  <c r="E154" i="12"/>
  <c r="M154" i="12" s="1"/>
  <c r="D154" i="12"/>
  <c r="L154" i="12" s="1"/>
  <c r="C154" i="12"/>
  <c r="K154" i="12" s="1"/>
  <c r="B154" i="12"/>
  <c r="J154" i="12" s="1"/>
  <c r="G153" i="12"/>
  <c r="O153" i="12" s="1"/>
  <c r="F153" i="12"/>
  <c r="N153" i="12" s="1"/>
  <c r="E153" i="12"/>
  <c r="M153" i="12" s="1"/>
  <c r="D153" i="12"/>
  <c r="L153" i="12" s="1"/>
  <c r="C153" i="12"/>
  <c r="K153" i="12" s="1"/>
  <c r="B153" i="12"/>
  <c r="J153" i="12" s="1"/>
  <c r="G152" i="12"/>
  <c r="O152" i="12" s="1"/>
  <c r="F152" i="12"/>
  <c r="N152" i="12" s="1"/>
  <c r="E152" i="12"/>
  <c r="M152" i="12" s="1"/>
  <c r="D152" i="12"/>
  <c r="L152" i="12" s="1"/>
  <c r="C152" i="12"/>
  <c r="K152" i="12" s="1"/>
  <c r="B152" i="12"/>
  <c r="J152" i="12" s="1"/>
  <c r="G151" i="12"/>
  <c r="O151" i="12" s="1"/>
  <c r="F151" i="12"/>
  <c r="N151" i="12" s="1"/>
  <c r="E151" i="12"/>
  <c r="M151" i="12" s="1"/>
  <c r="D151" i="12"/>
  <c r="L151" i="12" s="1"/>
  <c r="C151" i="12"/>
  <c r="K151" i="12" s="1"/>
  <c r="B151" i="12"/>
  <c r="J151" i="12" s="1"/>
  <c r="G150" i="12"/>
  <c r="O150" i="12" s="1"/>
  <c r="F150" i="12"/>
  <c r="N150" i="12" s="1"/>
  <c r="E150" i="12"/>
  <c r="M150" i="12" s="1"/>
  <c r="D150" i="12"/>
  <c r="L150" i="12" s="1"/>
  <c r="C150" i="12"/>
  <c r="K150" i="12" s="1"/>
  <c r="B150" i="12"/>
  <c r="J150" i="12" s="1"/>
  <c r="G149" i="12"/>
  <c r="O149" i="12" s="1"/>
  <c r="F149" i="12"/>
  <c r="N149" i="12" s="1"/>
  <c r="E149" i="12"/>
  <c r="M149" i="12" s="1"/>
  <c r="D149" i="12"/>
  <c r="L149" i="12" s="1"/>
  <c r="C149" i="12"/>
  <c r="K149" i="12" s="1"/>
  <c r="B149" i="12"/>
  <c r="J149" i="12" s="1"/>
  <c r="G148" i="12"/>
  <c r="O148" i="12" s="1"/>
  <c r="F148" i="12"/>
  <c r="N148" i="12" s="1"/>
  <c r="E148" i="12"/>
  <c r="M148" i="12" s="1"/>
  <c r="D148" i="12"/>
  <c r="L148" i="12" s="1"/>
  <c r="C148" i="12"/>
  <c r="K148" i="12" s="1"/>
  <c r="B148" i="12"/>
  <c r="J148" i="12" s="1"/>
  <c r="G147" i="12"/>
  <c r="O147" i="12" s="1"/>
  <c r="F147" i="12"/>
  <c r="N147" i="12" s="1"/>
  <c r="E147" i="12"/>
  <c r="M147" i="12" s="1"/>
  <c r="D147" i="12"/>
  <c r="L147" i="12" s="1"/>
  <c r="C147" i="12"/>
  <c r="K147" i="12" s="1"/>
  <c r="B147" i="12"/>
  <c r="J147" i="12" s="1"/>
  <c r="G146" i="12"/>
  <c r="O146" i="12" s="1"/>
  <c r="F146" i="12"/>
  <c r="N146" i="12" s="1"/>
  <c r="E146" i="12"/>
  <c r="M146" i="12" s="1"/>
  <c r="D146" i="12"/>
  <c r="L146" i="12" s="1"/>
  <c r="C146" i="12"/>
  <c r="K146" i="12" s="1"/>
  <c r="B146" i="12"/>
  <c r="J146" i="12" s="1"/>
  <c r="G145" i="12"/>
  <c r="O145" i="12" s="1"/>
  <c r="F145" i="12"/>
  <c r="N145" i="12" s="1"/>
  <c r="E145" i="12"/>
  <c r="M145" i="12" s="1"/>
  <c r="D145" i="12"/>
  <c r="L145" i="12" s="1"/>
  <c r="C145" i="12"/>
  <c r="K145" i="12" s="1"/>
  <c r="B145" i="12"/>
  <c r="J145" i="12" s="1"/>
  <c r="G144" i="12"/>
  <c r="O144" i="12" s="1"/>
  <c r="F144" i="12"/>
  <c r="N144" i="12" s="1"/>
  <c r="E144" i="12"/>
  <c r="M144" i="12" s="1"/>
  <c r="D144" i="12"/>
  <c r="L144" i="12" s="1"/>
  <c r="C144" i="12"/>
  <c r="K144" i="12" s="1"/>
  <c r="B144" i="12"/>
  <c r="J144" i="12" s="1"/>
  <c r="G143" i="12"/>
  <c r="O143" i="12" s="1"/>
  <c r="F143" i="12"/>
  <c r="N143" i="12" s="1"/>
  <c r="E143" i="12"/>
  <c r="M143" i="12" s="1"/>
  <c r="D143" i="12"/>
  <c r="L143" i="12" s="1"/>
  <c r="C143" i="12"/>
  <c r="K143" i="12" s="1"/>
  <c r="B143" i="12"/>
  <c r="J143" i="12" s="1"/>
  <c r="G142" i="12"/>
  <c r="O142" i="12" s="1"/>
  <c r="F142" i="12"/>
  <c r="N142" i="12" s="1"/>
  <c r="E142" i="12"/>
  <c r="M142" i="12" s="1"/>
  <c r="D142" i="12"/>
  <c r="L142" i="12" s="1"/>
  <c r="C142" i="12"/>
  <c r="K142" i="12" s="1"/>
  <c r="B142" i="12"/>
  <c r="J142" i="12" s="1"/>
  <c r="G141" i="12"/>
  <c r="O141" i="12" s="1"/>
  <c r="F141" i="12"/>
  <c r="N141" i="12" s="1"/>
  <c r="E141" i="12"/>
  <c r="M141" i="12" s="1"/>
  <c r="D141" i="12"/>
  <c r="L141" i="12" s="1"/>
  <c r="C141" i="12"/>
  <c r="K141" i="12" s="1"/>
  <c r="B141" i="12"/>
  <c r="J141" i="12" s="1"/>
  <c r="G140" i="12"/>
  <c r="O140" i="12" s="1"/>
  <c r="F140" i="12"/>
  <c r="N140" i="12" s="1"/>
  <c r="E140" i="12"/>
  <c r="M140" i="12" s="1"/>
  <c r="D140" i="12"/>
  <c r="L140" i="12" s="1"/>
  <c r="C140" i="12"/>
  <c r="K140" i="12" s="1"/>
  <c r="B140" i="12"/>
  <c r="J140" i="12" s="1"/>
  <c r="G139" i="12"/>
  <c r="O139" i="12" s="1"/>
  <c r="F139" i="12"/>
  <c r="N139" i="12" s="1"/>
  <c r="E139" i="12"/>
  <c r="M139" i="12" s="1"/>
  <c r="D139" i="12"/>
  <c r="L139" i="12" s="1"/>
  <c r="C139" i="12"/>
  <c r="K139" i="12" s="1"/>
  <c r="B139" i="12"/>
  <c r="J139" i="12" s="1"/>
  <c r="G138" i="12"/>
  <c r="O138" i="12" s="1"/>
  <c r="F138" i="12"/>
  <c r="N138" i="12" s="1"/>
  <c r="E138" i="12"/>
  <c r="M138" i="12" s="1"/>
  <c r="D138" i="12"/>
  <c r="L138" i="12" s="1"/>
  <c r="C138" i="12"/>
  <c r="K138" i="12" s="1"/>
  <c r="B138" i="12"/>
  <c r="J138" i="12" s="1"/>
  <c r="G137" i="12"/>
  <c r="O137" i="12" s="1"/>
  <c r="F137" i="12"/>
  <c r="N137" i="12" s="1"/>
  <c r="E137" i="12"/>
  <c r="M137" i="12" s="1"/>
  <c r="D137" i="12"/>
  <c r="L137" i="12" s="1"/>
  <c r="C137" i="12"/>
  <c r="K137" i="12" s="1"/>
  <c r="B137" i="12"/>
  <c r="J137" i="12" s="1"/>
  <c r="G136" i="12"/>
  <c r="O136" i="12" s="1"/>
  <c r="F136" i="12"/>
  <c r="N136" i="12" s="1"/>
  <c r="E136" i="12"/>
  <c r="M136" i="12" s="1"/>
  <c r="D136" i="12"/>
  <c r="L136" i="12" s="1"/>
  <c r="C136" i="12"/>
  <c r="K136" i="12" s="1"/>
  <c r="B136" i="12"/>
  <c r="J136" i="12" s="1"/>
  <c r="G135" i="12"/>
  <c r="O135" i="12" s="1"/>
  <c r="F135" i="12"/>
  <c r="N135" i="12" s="1"/>
  <c r="E135" i="12"/>
  <c r="M135" i="12" s="1"/>
  <c r="D135" i="12"/>
  <c r="L135" i="12" s="1"/>
  <c r="C135" i="12"/>
  <c r="K135" i="12" s="1"/>
  <c r="B135" i="12"/>
  <c r="J135" i="12" s="1"/>
  <c r="G134" i="12"/>
  <c r="O134" i="12" s="1"/>
  <c r="F134" i="12"/>
  <c r="N134" i="12" s="1"/>
  <c r="E134" i="12"/>
  <c r="M134" i="12" s="1"/>
  <c r="D134" i="12"/>
  <c r="L134" i="12" s="1"/>
  <c r="C134" i="12"/>
  <c r="K134" i="12" s="1"/>
  <c r="B134" i="12"/>
  <c r="J134" i="12" s="1"/>
  <c r="G133" i="12"/>
  <c r="O133" i="12" s="1"/>
  <c r="F133" i="12"/>
  <c r="N133" i="12" s="1"/>
  <c r="E133" i="12"/>
  <c r="M133" i="12" s="1"/>
  <c r="D133" i="12"/>
  <c r="L133" i="12" s="1"/>
  <c r="C133" i="12"/>
  <c r="K133" i="12" s="1"/>
  <c r="B133" i="12"/>
  <c r="J133" i="12" s="1"/>
  <c r="G132" i="12"/>
  <c r="O132" i="12" s="1"/>
  <c r="F132" i="12"/>
  <c r="N132" i="12" s="1"/>
  <c r="E132" i="12"/>
  <c r="M132" i="12" s="1"/>
  <c r="D132" i="12"/>
  <c r="L132" i="12" s="1"/>
  <c r="C132" i="12"/>
  <c r="K132" i="12" s="1"/>
  <c r="B132" i="12"/>
  <c r="J132" i="12" s="1"/>
  <c r="G131" i="12"/>
  <c r="O131" i="12" s="1"/>
  <c r="F131" i="12"/>
  <c r="N131" i="12" s="1"/>
  <c r="E131" i="12"/>
  <c r="M131" i="12" s="1"/>
  <c r="D131" i="12"/>
  <c r="L131" i="12" s="1"/>
  <c r="C131" i="12"/>
  <c r="K131" i="12" s="1"/>
  <c r="B131" i="12"/>
  <c r="J131" i="12" s="1"/>
  <c r="G130" i="12"/>
  <c r="O130" i="12" s="1"/>
  <c r="F130" i="12"/>
  <c r="N130" i="12" s="1"/>
  <c r="E130" i="12"/>
  <c r="M130" i="12" s="1"/>
  <c r="D130" i="12"/>
  <c r="L130" i="12" s="1"/>
  <c r="C130" i="12"/>
  <c r="K130" i="12" s="1"/>
  <c r="B130" i="12"/>
  <c r="J130" i="12" s="1"/>
  <c r="G129" i="12"/>
  <c r="O129" i="12" s="1"/>
  <c r="F129" i="12"/>
  <c r="N129" i="12" s="1"/>
  <c r="E129" i="12"/>
  <c r="M129" i="12" s="1"/>
  <c r="D129" i="12"/>
  <c r="L129" i="12" s="1"/>
  <c r="C129" i="12"/>
  <c r="K129" i="12" s="1"/>
  <c r="B129" i="12"/>
  <c r="J129" i="12" s="1"/>
  <c r="G128" i="12"/>
  <c r="O128" i="12" s="1"/>
  <c r="F128" i="12"/>
  <c r="N128" i="12" s="1"/>
  <c r="E128" i="12"/>
  <c r="M128" i="12" s="1"/>
  <c r="D128" i="12"/>
  <c r="L128" i="12" s="1"/>
  <c r="C128" i="12"/>
  <c r="K128" i="12" s="1"/>
  <c r="B128" i="12"/>
  <c r="J128" i="12" s="1"/>
  <c r="G127" i="12"/>
  <c r="O127" i="12" s="1"/>
  <c r="F127" i="12"/>
  <c r="N127" i="12" s="1"/>
  <c r="E127" i="12"/>
  <c r="M127" i="12" s="1"/>
  <c r="D127" i="12"/>
  <c r="L127" i="12" s="1"/>
  <c r="C127" i="12"/>
  <c r="K127" i="12" s="1"/>
  <c r="B127" i="12"/>
  <c r="J127" i="12" s="1"/>
  <c r="G126" i="12"/>
  <c r="O126" i="12" s="1"/>
  <c r="F126" i="12"/>
  <c r="N126" i="12" s="1"/>
  <c r="E126" i="12"/>
  <c r="M126" i="12" s="1"/>
  <c r="D126" i="12"/>
  <c r="L126" i="12" s="1"/>
  <c r="C126" i="12"/>
  <c r="K126" i="12" s="1"/>
  <c r="B126" i="12"/>
  <c r="J126" i="12" s="1"/>
  <c r="G125" i="12"/>
  <c r="O125" i="12" s="1"/>
  <c r="F125" i="12"/>
  <c r="N125" i="12" s="1"/>
  <c r="E125" i="12"/>
  <c r="M125" i="12" s="1"/>
  <c r="D125" i="12"/>
  <c r="L125" i="12" s="1"/>
  <c r="C125" i="12"/>
  <c r="K125" i="12" s="1"/>
  <c r="B125" i="12"/>
  <c r="J125" i="12" s="1"/>
  <c r="G124" i="12"/>
  <c r="O124" i="12" s="1"/>
  <c r="E124" i="12"/>
  <c r="M124" i="12" s="1"/>
  <c r="D124" i="12"/>
  <c r="L124" i="12" s="1"/>
  <c r="C124" i="12"/>
  <c r="K124" i="12" s="1"/>
  <c r="B124" i="12"/>
  <c r="J124" i="12" s="1"/>
  <c r="G123" i="12"/>
  <c r="O123" i="12" s="1"/>
  <c r="F123" i="12"/>
  <c r="N123" i="12" s="1"/>
  <c r="E123" i="12"/>
  <c r="M123" i="12" s="1"/>
  <c r="D123" i="12"/>
  <c r="L123" i="12" s="1"/>
  <c r="C123" i="12"/>
  <c r="K123" i="12" s="1"/>
  <c r="B123" i="12"/>
  <c r="J123" i="12" s="1"/>
  <c r="G122" i="12"/>
  <c r="O122" i="12" s="1"/>
  <c r="F122" i="12"/>
  <c r="N122" i="12" s="1"/>
  <c r="E122" i="12"/>
  <c r="M122" i="12" s="1"/>
  <c r="D122" i="12"/>
  <c r="L122" i="12" s="1"/>
  <c r="C122" i="12"/>
  <c r="K122" i="12" s="1"/>
  <c r="B122" i="12"/>
  <c r="J122" i="12" s="1"/>
  <c r="G121" i="12"/>
  <c r="O121" i="12" s="1"/>
  <c r="F121" i="12"/>
  <c r="N121" i="12" s="1"/>
  <c r="E121" i="12"/>
  <c r="M121" i="12" s="1"/>
  <c r="D121" i="12"/>
  <c r="L121" i="12" s="1"/>
  <c r="C121" i="12"/>
  <c r="K121" i="12" s="1"/>
  <c r="B121" i="12"/>
  <c r="J121" i="12" s="1"/>
  <c r="G120" i="12"/>
  <c r="O120" i="12" s="1"/>
  <c r="F120" i="12"/>
  <c r="N120" i="12" s="1"/>
  <c r="E120" i="12"/>
  <c r="M120" i="12" s="1"/>
  <c r="D120" i="12"/>
  <c r="L120" i="12" s="1"/>
  <c r="C120" i="12"/>
  <c r="K120" i="12" s="1"/>
  <c r="B120" i="12"/>
  <c r="J120" i="12" s="1"/>
  <c r="G119" i="12"/>
  <c r="O119" i="12" s="1"/>
  <c r="F119" i="12"/>
  <c r="N119" i="12" s="1"/>
  <c r="E119" i="12"/>
  <c r="M119" i="12" s="1"/>
  <c r="D119" i="12"/>
  <c r="L119" i="12" s="1"/>
  <c r="C119" i="12"/>
  <c r="K119" i="12" s="1"/>
  <c r="B119" i="12"/>
  <c r="J119" i="12" s="1"/>
  <c r="G118" i="12"/>
  <c r="O118" i="12" s="1"/>
  <c r="F118" i="12"/>
  <c r="N118" i="12" s="1"/>
  <c r="E118" i="12"/>
  <c r="M118" i="12" s="1"/>
  <c r="D118" i="12"/>
  <c r="L118" i="12" s="1"/>
  <c r="C118" i="12"/>
  <c r="K118" i="12" s="1"/>
  <c r="B118" i="12"/>
  <c r="J118" i="12" s="1"/>
  <c r="G117" i="12"/>
  <c r="O117" i="12" s="1"/>
  <c r="F117" i="12"/>
  <c r="N117" i="12" s="1"/>
  <c r="E117" i="12"/>
  <c r="M117" i="12" s="1"/>
  <c r="D117" i="12"/>
  <c r="L117" i="12" s="1"/>
  <c r="C117" i="12"/>
  <c r="K117" i="12" s="1"/>
  <c r="B117" i="12"/>
  <c r="J117" i="12" s="1"/>
  <c r="G116" i="12"/>
  <c r="O116" i="12" s="1"/>
  <c r="F116" i="12"/>
  <c r="N116" i="12" s="1"/>
  <c r="E116" i="12"/>
  <c r="M116" i="12" s="1"/>
  <c r="D116" i="12"/>
  <c r="L116" i="12" s="1"/>
  <c r="C116" i="12"/>
  <c r="K116" i="12" s="1"/>
  <c r="B116" i="12"/>
  <c r="J116" i="12" s="1"/>
  <c r="G115" i="12"/>
  <c r="O115" i="12" s="1"/>
  <c r="F115" i="12"/>
  <c r="N115" i="12" s="1"/>
  <c r="E115" i="12"/>
  <c r="M115" i="12" s="1"/>
  <c r="D115" i="12"/>
  <c r="L115" i="12" s="1"/>
  <c r="C115" i="12"/>
  <c r="K115" i="12" s="1"/>
  <c r="B115" i="12"/>
  <c r="J115" i="12" s="1"/>
  <c r="G114" i="12"/>
  <c r="O114" i="12" s="1"/>
  <c r="F114" i="12"/>
  <c r="N114" i="12" s="1"/>
  <c r="E114" i="12"/>
  <c r="M114" i="12" s="1"/>
  <c r="D114" i="12"/>
  <c r="L114" i="12" s="1"/>
  <c r="C114" i="12"/>
  <c r="K114" i="12" s="1"/>
  <c r="B114" i="12"/>
  <c r="J114" i="12" s="1"/>
  <c r="G113" i="12"/>
  <c r="O113" i="12" s="1"/>
  <c r="F113" i="12"/>
  <c r="N113" i="12" s="1"/>
  <c r="E113" i="12"/>
  <c r="M113" i="12" s="1"/>
  <c r="D113" i="12"/>
  <c r="L113" i="12" s="1"/>
  <c r="C113" i="12"/>
  <c r="K113" i="12" s="1"/>
  <c r="B113" i="12"/>
  <c r="J113" i="12" s="1"/>
  <c r="G112" i="12"/>
  <c r="O112" i="12" s="1"/>
  <c r="F112" i="12"/>
  <c r="N112" i="12" s="1"/>
  <c r="E112" i="12"/>
  <c r="M112" i="12" s="1"/>
  <c r="D112" i="12"/>
  <c r="L112" i="12" s="1"/>
  <c r="C112" i="12"/>
  <c r="K112" i="12" s="1"/>
  <c r="B112" i="12"/>
  <c r="J112" i="12" s="1"/>
  <c r="G111" i="12"/>
  <c r="O111" i="12" s="1"/>
  <c r="F111" i="12"/>
  <c r="N111" i="12" s="1"/>
  <c r="E111" i="12"/>
  <c r="M111" i="12" s="1"/>
  <c r="D111" i="12"/>
  <c r="L111" i="12" s="1"/>
  <c r="C111" i="12"/>
  <c r="K111" i="12" s="1"/>
  <c r="B111" i="12"/>
  <c r="J111" i="12" s="1"/>
  <c r="G110" i="12"/>
  <c r="O110" i="12" s="1"/>
  <c r="F110" i="12"/>
  <c r="N110" i="12" s="1"/>
  <c r="E110" i="12"/>
  <c r="M110" i="12" s="1"/>
  <c r="D110" i="12"/>
  <c r="L110" i="12" s="1"/>
  <c r="C110" i="12"/>
  <c r="K110" i="12" s="1"/>
  <c r="B110" i="12"/>
  <c r="J110" i="12" s="1"/>
  <c r="G109" i="12"/>
  <c r="O109" i="12" s="1"/>
  <c r="F109" i="12"/>
  <c r="N109" i="12" s="1"/>
  <c r="E109" i="12"/>
  <c r="M109" i="12" s="1"/>
  <c r="D109" i="12"/>
  <c r="L109" i="12" s="1"/>
  <c r="C109" i="12"/>
  <c r="K109" i="12" s="1"/>
  <c r="B109" i="12"/>
  <c r="J109" i="12" s="1"/>
  <c r="G108" i="12"/>
  <c r="O108" i="12" s="1"/>
  <c r="F108" i="12"/>
  <c r="N108" i="12" s="1"/>
  <c r="E108" i="12"/>
  <c r="M108" i="12" s="1"/>
  <c r="D108" i="12"/>
  <c r="L108" i="12" s="1"/>
  <c r="C108" i="12"/>
  <c r="K108" i="12" s="1"/>
  <c r="B108" i="12"/>
  <c r="J108" i="12" s="1"/>
  <c r="G107" i="12"/>
  <c r="O107" i="12" s="1"/>
  <c r="F107" i="12"/>
  <c r="N107" i="12" s="1"/>
  <c r="E107" i="12"/>
  <c r="M107" i="12" s="1"/>
  <c r="D107" i="12"/>
  <c r="L107" i="12" s="1"/>
  <c r="C107" i="12"/>
  <c r="K107" i="12" s="1"/>
  <c r="B107" i="12"/>
  <c r="J107" i="12" s="1"/>
  <c r="G106" i="12"/>
  <c r="O106" i="12" s="1"/>
  <c r="F106" i="12"/>
  <c r="N106" i="12" s="1"/>
  <c r="E106" i="12"/>
  <c r="M106" i="12" s="1"/>
  <c r="D106" i="12"/>
  <c r="L106" i="12" s="1"/>
  <c r="C106" i="12"/>
  <c r="K106" i="12" s="1"/>
  <c r="B106" i="12"/>
  <c r="J106" i="12" s="1"/>
  <c r="G105" i="12"/>
  <c r="O105" i="12" s="1"/>
  <c r="F105" i="12"/>
  <c r="N105" i="12" s="1"/>
  <c r="E105" i="12"/>
  <c r="M105" i="12" s="1"/>
  <c r="D105" i="12"/>
  <c r="L105" i="12" s="1"/>
  <c r="C105" i="12"/>
  <c r="K105" i="12" s="1"/>
  <c r="B105" i="12"/>
  <c r="J105" i="12" s="1"/>
  <c r="G104" i="12"/>
  <c r="O104" i="12" s="1"/>
  <c r="F104" i="12"/>
  <c r="N104" i="12" s="1"/>
  <c r="E104" i="12"/>
  <c r="M104" i="12" s="1"/>
  <c r="D104" i="12"/>
  <c r="L104" i="12" s="1"/>
  <c r="C104" i="12"/>
  <c r="K104" i="12" s="1"/>
  <c r="B104" i="12"/>
  <c r="J104" i="12" s="1"/>
  <c r="G103" i="12"/>
  <c r="O103" i="12" s="1"/>
  <c r="F103" i="12"/>
  <c r="N103" i="12" s="1"/>
  <c r="E103" i="12"/>
  <c r="M103" i="12" s="1"/>
  <c r="D103" i="12"/>
  <c r="L103" i="12" s="1"/>
  <c r="C103" i="12"/>
  <c r="K103" i="12" s="1"/>
  <c r="B103" i="12"/>
  <c r="J103" i="12" s="1"/>
  <c r="G102" i="12"/>
  <c r="O102" i="12" s="1"/>
  <c r="F102" i="12"/>
  <c r="N102" i="12" s="1"/>
  <c r="E102" i="12"/>
  <c r="M102" i="12" s="1"/>
  <c r="D102" i="12"/>
  <c r="L102" i="12" s="1"/>
  <c r="C102" i="12"/>
  <c r="K102" i="12" s="1"/>
  <c r="B102" i="12"/>
  <c r="J102" i="12" s="1"/>
  <c r="G101" i="12"/>
  <c r="O101" i="12" s="1"/>
  <c r="F101" i="12"/>
  <c r="N101" i="12" s="1"/>
  <c r="E101" i="12"/>
  <c r="M101" i="12" s="1"/>
  <c r="D101" i="12"/>
  <c r="L101" i="12" s="1"/>
  <c r="C101" i="12"/>
  <c r="K101" i="12" s="1"/>
  <c r="B101" i="12"/>
  <c r="J101" i="12" s="1"/>
  <c r="G100" i="12"/>
  <c r="O100" i="12" s="1"/>
  <c r="F100" i="12"/>
  <c r="N100" i="12" s="1"/>
  <c r="E100" i="12"/>
  <c r="M100" i="12" s="1"/>
  <c r="D100" i="12"/>
  <c r="L100" i="12" s="1"/>
  <c r="C100" i="12"/>
  <c r="K100" i="12" s="1"/>
  <c r="B100" i="12"/>
  <c r="J100" i="12" s="1"/>
  <c r="G99" i="12"/>
  <c r="O99" i="12" s="1"/>
  <c r="F99" i="12"/>
  <c r="N99" i="12" s="1"/>
  <c r="E99" i="12"/>
  <c r="M99" i="12" s="1"/>
  <c r="D99" i="12"/>
  <c r="L99" i="12" s="1"/>
  <c r="C99" i="12"/>
  <c r="K99" i="12" s="1"/>
  <c r="B99" i="12"/>
  <c r="J99" i="12" s="1"/>
  <c r="G98" i="12"/>
  <c r="O98" i="12" s="1"/>
  <c r="F98" i="12"/>
  <c r="N98" i="12" s="1"/>
  <c r="E98" i="12"/>
  <c r="M98" i="12" s="1"/>
  <c r="D98" i="12"/>
  <c r="L98" i="12" s="1"/>
  <c r="C98" i="12"/>
  <c r="K98" i="12" s="1"/>
  <c r="B98" i="12"/>
  <c r="J98" i="12" s="1"/>
  <c r="G97" i="12"/>
  <c r="O97" i="12" s="1"/>
  <c r="F97" i="12"/>
  <c r="N97" i="12" s="1"/>
  <c r="E97" i="12"/>
  <c r="M97" i="12" s="1"/>
  <c r="D97" i="12"/>
  <c r="L97" i="12" s="1"/>
  <c r="C97" i="12"/>
  <c r="K97" i="12" s="1"/>
  <c r="B97" i="12"/>
  <c r="J97" i="12" s="1"/>
  <c r="G96" i="12"/>
  <c r="O96" i="12" s="1"/>
  <c r="F96" i="12"/>
  <c r="N96" i="12" s="1"/>
  <c r="E96" i="12"/>
  <c r="M96" i="12" s="1"/>
  <c r="D96" i="12"/>
  <c r="L96" i="12" s="1"/>
  <c r="C96" i="12"/>
  <c r="K96" i="12" s="1"/>
  <c r="B96" i="12"/>
  <c r="J96" i="12" s="1"/>
  <c r="G95" i="12"/>
  <c r="O95" i="12" s="1"/>
  <c r="F95" i="12"/>
  <c r="N95" i="12" s="1"/>
  <c r="E95" i="12"/>
  <c r="M95" i="12" s="1"/>
  <c r="D95" i="12"/>
  <c r="L95" i="12" s="1"/>
  <c r="C95" i="12"/>
  <c r="K95" i="12" s="1"/>
  <c r="B95" i="12"/>
  <c r="J95" i="12" s="1"/>
  <c r="G94" i="12"/>
  <c r="O94" i="12" s="1"/>
  <c r="F94" i="12"/>
  <c r="N94" i="12" s="1"/>
  <c r="E94" i="12"/>
  <c r="M94" i="12" s="1"/>
  <c r="D94" i="12"/>
  <c r="L94" i="12" s="1"/>
  <c r="C94" i="12"/>
  <c r="K94" i="12" s="1"/>
  <c r="B94" i="12"/>
  <c r="J94" i="12" s="1"/>
  <c r="G93" i="12"/>
  <c r="O93" i="12" s="1"/>
  <c r="F93" i="12"/>
  <c r="N93" i="12" s="1"/>
  <c r="E93" i="12"/>
  <c r="M93" i="12" s="1"/>
  <c r="D93" i="12"/>
  <c r="L93" i="12" s="1"/>
  <c r="C93" i="12"/>
  <c r="K93" i="12" s="1"/>
  <c r="B93" i="12"/>
  <c r="J93" i="12" s="1"/>
  <c r="G92" i="12"/>
  <c r="O92" i="12" s="1"/>
  <c r="F92" i="12"/>
  <c r="N92" i="12" s="1"/>
  <c r="E92" i="12"/>
  <c r="M92" i="12" s="1"/>
  <c r="D92" i="12"/>
  <c r="L92" i="12" s="1"/>
  <c r="C92" i="12"/>
  <c r="K92" i="12" s="1"/>
  <c r="B92" i="12"/>
  <c r="J92" i="12" s="1"/>
  <c r="G91" i="12"/>
  <c r="O91" i="12" s="1"/>
  <c r="F91" i="12"/>
  <c r="N91" i="12" s="1"/>
  <c r="E91" i="12"/>
  <c r="M91" i="12" s="1"/>
  <c r="D91" i="12"/>
  <c r="L91" i="12" s="1"/>
  <c r="C91" i="12"/>
  <c r="K91" i="12" s="1"/>
  <c r="B91" i="12"/>
  <c r="J91" i="12" s="1"/>
  <c r="G90" i="12"/>
  <c r="O90" i="12" s="1"/>
  <c r="F90" i="12"/>
  <c r="N90" i="12" s="1"/>
  <c r="E90" i="12"/>
  <c r="M90" i="12" s="1"/>
  <c r="D90" i="12"/>
  <c r="L90" i="12" s="1"/>
  <c r="C90" i="12"/>
  <c r="K90" i="12" s="1"/>
  <c r="B90" i="12"/>
  <c r="J90" i="12" s="1"/>
  <c r="G89" i="12"/>
  <c r="O89" i="12" s="1"/>
  <c r="F89" i="12"/>
  <c r="N89" i="12" s="1"/>
  <c r="E89" i="12"/>
  <c r="M89" i="12" s="1"/>
  <c r="D89" i="12"/>
  <c r="L89" i="12" s="1"/>
  <c r="C89" i="12"/>
  <c r="K89" i="12" s="1"/>
  <c r="B89" i="12"/>
  <c r="J89" i="12" s="1"/>
  <c r="G88" i="12"/>
  <c r="O88" i="12" s="1"/>
  <c r="F88" i="12"/>
  <c r="N88" i="12" s="1"/>
  <c r="E88" i="12"/>
  <c r="M88" i="12" s="1"/>
  <c r="D88" i="12"/>
  <c r="L88" i="12" s="1"/>
  <c r="C88" i="12"/>
  <c r="K88" i="12" s="1"/>
  <c r="B88" i="12"/>
  <c r="J88" i="12" s="1"/>
  <c r="G87" i="12"/>
  <c r="O87" i="12" s="1"/>
  <c r="F87" i="12"/>
  <c r="N87" i="12" s="1"/>
  <c r="E87" i="12"/>
  <c r="M87" i="12" s="1"/>
  <c r="D87" i="12"/>
  <c r="L87" i="12" s="1"/>
  <c r="C87" i="12"/>
  <c r="K87" i="12" s="1"/>
  <c r="B87" i="12"/>
  <c r="J87" i="12" s="1"/>
  <c r="G86" i="12"/>
  <c r="O86" i="12" s="1"/>
  <c r="F86" i="12"/>
  <c r="N86" i="12" s="1"/>
  <c r="E86" i="12"/>
  <c r="M86" i="12" s="1"/>
  <c r="D86" i="12"/>
  <c r="L86" i="12" s="1"/>
  <c r="C86" i="12"/>
  <c r="K86" i="12" s="1"/>
  <c r="B86" i="12"/>
  <c r="J86" i="12" s="1"/>
  <c r="G85" i="12"/>
  <c r="O85" i="12" s="1"/>
  <c r="F85" i="12"/>
  <c r="N85" i="12" s="1"/>
  <c r="E85" i="12"/>
  <c r="M85" i="12" s="1"/>
  <c r="D85" i="12"/>
  <c r="L85" i="12" s="1"/>
  <c r="C85" i="12"/>
  <c r="K85" i="12" s="1"/>
  <c r="B85" i="12"/>
  <c r="J85" i="12" s="1"/>
  <c r="G84" i="12"/>
  <c r="O84" i="12" s="1"/>
  <c r="F84" i="12"/>
  <c r="N84" i="12" s="1"/>
  <c r="E84" i="12"/>
  <c r="M84" i="12" s="1"/>
  <c r="D84" i="12"/>
  <c r="L84" i="12" s="1"/>
  <c r="C84" i="12"/>
  <c r="K84" i="12" s="1"/>
  <c r="B84" i="12"/>
  <c r="J84" i="12" s="1"/>
  <c r="G83" i="12"/>
  <c r="O83" i="12" s="1"/>
  <c r="F83" i="12"/>
  <c r="N83" i="12" s="1"/>
  <c r="E83" i="12"/>
  <c r="M83" i="12" s="1"/>
  <c r="D83" i="12"/>
  <c r="L83" i="12" s="1"/>
  <c r="C83" i="12"/>
  <c r="K83" i="12" s="1"/>
  <c r="B83" i="12"/>
  <c r="J83" i="12" s="1"/>
  <c r="G82" i="12"/>
  <c r="O82" i="12" s="1"/>
  <c r="F82" i="12"/>
  <c r="N82" i="12" s="1"/>
  <c r="E82" i="12"/>
  <c r="M82" i="12" s="1"/>
  <c r="D82" i="12"/>
  <c r="L82" i="12" s="1"/>
  <c r="C82" i="12"/>
  <c r="K82" i="12" s="1"/>
  <c r="B82" i="12"/>
  <c r="J82" i="12" s="1"/>
  <c r="G81" i="12"/>
  <c r="O81" i="12" s="1"/>
  <c r="F81" i="12"/>
  <c r="N81" i="12" s="1"/>
  <c r="E81" i="12"/>
  <c r="M81" i="12" s="1"/>
  <c r="D81" i="12"/>
  <c r="L81" i="12" s="1"/>
  <c r="C81" i="12"/>
  <c r="K81" i="12" s="1"/>
  <c r="B81" i="12"/>
  <c r="J81" i="12" s="1"/>
  <c r="G80" i="12"/>
  <c r="O80" i="12" s="1"/>
  <c r="F80" i="12"/>
  <c r="N80" i="12" s="1"/>
  <c r="E80" i="12"/>
  <c r="M80" i="12" s="1"/>
  <c r="D80" i="12"/>
  <c r="L80" i="12" s="1"/>
  <c r="C80" i="12"/>
  <c r="K80" i="12" s="1"/>
  <c r="B80" i="12"/>
  <c r="J80" i="12" s="1"/>
  <c r="G79" i="12"/>
  <c r="O79" i="12" s="1"/>
  <c r="F79" i="12"/>
  <c r="N79" i="12" s="1"/>
  <c r="E79" i="12"/>
  <c r="M79" i="12" s="1"/>
  <c r="D79" i="12"/>
  <c r="L79" i="12" s="1"/>
  <c r="C79" i="12"/>
  <c r="K79" i="12" s="1"/>
  <c r="B79" i="12"/>
  <c r="J79" i="12" s="1"/>
  <c r="G78" i="12"/>
  <c r="O78" i="12" s="1"/>
  <c r="F78" i="12"/>
  <c r="N78" i="12" s="1"/>
  <c r="E78" i="12"/>
  <c r="M78" i="12" s="1"/>
  <c r="D78" i="12"/>
  <c r="L78" i="12" s="1"/>
  <c r="C78" i="12"/>
  <c r="K78" i="12" s="1"/>
  <c r="B78" i="12"/>
  <c r="J78" i="12" s="1"/>
  <c r="G77" i="12"/>
  <c r="O77" i="12" s="1"/>
  <c r="F77" i="12"/>
  <c r="N77" i="12" s="1"/>
  <c r="E77" i="12"/>
  <c r="M77" i="12" s="1"/>
  <c r="D77" i="12"/>
  <c r="L77" i="12" s="1"/>
  <c r="C77" i="12"/>
  <c r="K77" i="12" s="1"/>
  <c r="B77" i="12"/>
  <c r="J77" i="12" s="1"/>
  <c r="G76" i="12"/>
  <c r="O76" i="12" s="1"/>
  <c r="F76" i="12"/>
  <c r="N76" i="12" s="1"/>
  <c r="E76" i="12"/>
  <c r="M76" i="12" s="1"/>
  <c r="D76" i="12"/>
  <c r="L76" i="12" s="1"/>
  <c r="C76" i="12"/>
  <c r="K76" i="12" s="1"/>
  <c r="B76" i="12"/>
  <c r="J76" i="12" s="1"/>
  <c r="G75" i="12"/>
  <c r="O75" i="12" s="1"/>
  <c r="F75" i="12"/>
  <c r="N75" i="12" s="1"/>
  <c r="E75" i="12"/>
  <c r="M75" i="12" s="1"/>
  <c r="D75" i="12"/>
  <c r="L75" i="12" s="1"/>
  <c r="C75" i="12"/>
  <c r="K75" i="12" s="1"/>
  <c r="B75" i="12"/>
  <c r="J75" i="12" s="1"/>
  <c r="G74" i="12"/>
  <c r="O74" i="12" s="1"/>
  <c r="F74" i="12"/>
  <c r="N74" i="12" s="1"/>
  <c r="E74" i="12"/>
  <c r="M74" i="12" s="1"/>
  <c r="D74" i="12"/>
  <c r="L74" i="12" s="1"/>
  <c r="C74" i="12"/>
  <c r="K74" i="12" s="1"/>
  <c r="B74" i="12"/>
  <c r="J74" i="12" s="1"/>
  <c r="G73" i="12"/>
  <c r="O73" i="12" s="1"/>
  <c r="F73" i="12"/>
  <c r="N73" i="12" s="1"/>
  <c r="E73" i="12"/>
  <c r="M73" i="12" s="1"/>
  <c r="D73" i="12"/>
  <c r="L73" i="12" s="1"/>
  <c r="C73" i="12"/>
  <c r="K73" i="12" s="1"/>
  <c r="B73" i="12"/>
  <c r="J73" i="12" s="1"/>
  <c r="G72" i="12"/>
  <c r="O72" i="12" s="1"/>
  <c r="F72" i="12"/>
  <c r="N72" i="12" s="1"/>
  <c r="E72" i="12"/>
  <c r="M72" i="12" s="1"/>
  <c r="D72" i="12"/>
  <c r="L72" i="12" s="1"/>
  <c r="C72" i="12"/>
  <c r="K72" i="12" s="1"/>
  <c r="B72" i="12"/>
  <c r="J72" i="12" s="1"/>
  <c r="G71" i="12"/>
  <c r="O71" i="12" s="1"/>
  <c r="F71" i="12"/>
  <c r="N71" i="12" s="1"/>
  <c r="E71" i="12"/>
  <c r="M71" i="12" s="1"/>
  <c r="D71" i="12"/>
  <c r="L71" i="12" s="1"/>
  <c r="C71" i="12"/>
  <c r="K71" i="12" s="1"/>
  <c r="B71" i="12"/>
  <c r="J71" i="12" s="1"/>
  <c r="G70" i="12"/>
  <c r="O70" i="12" s="1"/>
  <c r="F70" i="12"/>
  <c r="N70" i="12" s="1"/>
  <c r="E70" i="12"/>
  <c r="M70" i="12" s="1"/>
  <c r="D70" i="12"/>
  <c r="L70" i="12" s="1"/>
  <c r="C70" i="12"/>
  <c r="K70" i="12" s="1"/>
  <c r="B70" i="12"/>
  <c r="J70" i="12" s="1"/>
  <c r="G69" i="12"/>
  <c r="O69" i="12" s="1"/>
  <c r="F69" i="12"/>
  <c r="N69" i="12" s="1"/>
  <c r="E69" i="12"/>
  <c r="M69" i="12" s="1"/>
  <c r="D69" i="12"/>
  <c r="L69" i="12" s="1"/>
  <c r="C69" i="12"/>
  <c r="K69" i="12" s="1"/>
  <c r="B69" i="12"/>
  <c r="J69" i="12" s="1"/>
  <c r="G68" i="12"/>
  <c r="O68" i="12" s="1"/>
  <c r="F68" i="12"/>
  <c r="N68" i="12" s="1"/>
  <c r="E68" i="12"/>
  <c r="M68" i="12" s="1"/>
  <c r="D68" i="12"/>
  <c r="L68" i="12" s="1"/>
  <c r="C68" i="12"/>
  <c r="K68" i="12" s="1"/>
  <c r="B68" i="12"/>
  <c r="J68" i="12" s="1"/>
  <c r="G67" i="12"/>
  <c r="O67" i="12" s="1"/>
  <c r="F67" i="12"/>
  <c r="N67" i="12" s="1"/>
  <c r="E67" i="12"/>
  <c r="M67" i="12" s="1"/>
  <c r="D67" i="12"/>
  <c r="L67" i="12" s="1"/>
  <c r="C67" i="12"/>
  <c r="K67" i="12" s="1"/>
  <c r="B67" i="12"/>
  <c r="J67" i="12" s="1"/>
  <c r="G66" i="12"/>
  <c r="O66" i="12" s="1"/>
  <c r="F66" i="12"/>
  <c r="N66" i="12" s="1"/>
  <c r="E66" i="12"/>
  <c r="M66" i="12" s="1"/>
  <c r="D66" i="12"/>
  <c r="L66" i="12" s="1"/>
  <c r="C66" i="12"/>
  <c r="K66" i="12" s="1"/>
  <c r="B66" i="12"/>
  <c r="J66" i="12" s="1"/>
  <c r="G65" i="12"/>
  <c r="O65" i="12" s="1"/>
  <c r="F65" i="12"/>
  <c r="N65" i="12" s="1"/>
  <c r="E65" i="12"/>
  <c r="M65" i="12" s="1"/>
  <c r="D65" i="12"/>
  <c r="L65" i="12" s="1"/>
  <c r="C65" i="12"/>
  <c r="K65" i="12" s="1"/>
  <c r="B65" i="12"/>
  <c r="J65" i="12" s="1"/>
  <c r="G64" i="12"/>
  <c r="O64" i="12" s="1"/>
  <c r="F64" i="12"/>
  <c r="N64" i="12" s="1"/>
  <c r="E64" i="12"/>
  <c r="M64" i="12" s="1"/>
  <c r="D64" i="12"/>
  <c r="L64" i="12" s="1"/>
  <c r="C64" i="12"/>
  <c r="K64" i="12" s="1"/>
  <c r="B64" i="12"/>
  <c r="J64" i="12" s="1"/>
  <c r="G63" i="12"/>
  <c r="O63" i="12" s="1"/>
  <c r="F63" i="12"/>
  <c r="N63" i="12" s="1"/>
  <c r="E63" i="12"/>
  <c r="M63" i="12" s="1"/>
  <c r="D63" i="12"/>
  <c r="L63" i="12" s="1"/>
  <c r="C63" i="12"/>
  <c r="K63" i="12" s="1"/>
  <c r="B63" i="12"/>
  <c r="J63" i="12" s="1"/>
  <c r="G62" i="12"/>
  <c r="O62" i="12" s="1"/>
  <c r="F62" i="12"/>
  <c r="N62" i="12" s="1"/>
  <c r="E62" i="12"/>
  <c r="M62" i="12" s="1"/>
  <c r="D62" i="12"/>
  <c r="L62" i="12" s="1"/>
  <c r="C62" i="12"/>
  <c r="K62" i="12" s="1"/>
  <c r="B62" i="12"/>
  <c r="J62" i="12" s="1"/>
  <c r="G61" i="12"/>
  <c r="O61" i="12" s="1"/>
  <c r="F61" i="12"/>
  <c r="N61" i="12" s="1"/>
  <c r="E61" i="12"/>
  <c r="M61" i="12" s="1"/>
  <c r="D61" i="12"/>
  <c r="L61" i="12" s="1"/>
  <c r="C61" i="12"/>
  <c r="K61" i="12" s="1"/>
  <c r="B61" i="12"/>
  <c r="J61" i="12" s="1"/>
  <c r="G60" i="12"/>
  <c r="O60" i="12" s="1"/>
  <c r="F60" i="12"/>
  <c r="N60" i="12" s="1"/>
  <c r="E60" i="12"/>
  <c r="M60" i="12" s="1"/>
  <c r="D60" i="12"/>
  <c r="L60" i="12" s="1"/>
  <c r="C60" i="12"/>
  <c r="K60" i="12" s="1"/>
  <c r="B60" i="12"/>
  <c r="J60" i="12" s="1"/>
  <c r="G59" i="12"/>
  <c r="O59" i="12" s="1"/>
  <c r="F59" i="12"/>
  <c r="N59" i="12" s="1"/>
  <c r="E59" i="12"/>
  <c r="M59" i="12" s="1"/>
  <c r="D59" i="12"/>
  <c r="L59" i="12" s="1"/>
  <c r="C59" i="12"/>
  <c r="K59" i="12" s="1"/>
  <c r="B59" i="12"/>
  <c r="J59" i="12" s="1"/>
  <c r="G58" i="12"/>
  <c r="O58" i="12" s="1"/>
  <c r="F58" i="12"/>
  <c r="N58" i="12" s="1"/>
  <c r="E58" i="12"/>
  <c r="M58" i="12" s="1"/>
  <c r="D58" i="12"/>
  <c r="L58" i="12" s="1"/>
  <c r="C58" i="12"/>
  <c r="K58" i="12" s="1"/>
  <c r="B58" i="12"/>
  <c r="J58" i="12" s="1"/>
  <c r="G57" i="12"/>
  <c r="O57" i="12" s="1"/>
  <c r="F57" i="12"/>
  <c r="N57" i="12" s="1"/>
  <c r="E57" i="12"/>
  <c r="M57" i="12" s="1"/>
  <c r="D57" i="12"/>
  <c r="L57" i="12" s="1"/>
  <c r="C57" i="12"/>
  <c r="K57" i="12" s="1"/>
  <c r="B57" i="12"/>
  <c r="J57" i="12" s="1"/>
  <c r="G56" i="12"/>
  <c r="O56" i="12" s="1"/>
  <c r="F56" i="12"/>
  <c r="N56" i="12" s="1"/>
  <c r="E56" i="12"/>
  <c r="M56" i="12" s="1"/>
  <c r="D56" i="12"/>
  <c r="L56" i="12" s="1"/>
  <c r="C56" i="12"/>
  <c r="K56" i="12" s="1"/>
  <c r="B56" i="12"/>
  <c r="J56" i="12" s="1"/>
  <c r="G55" i="12"/>
  <c r="O55" i="12" s="1"/>
  <c r="F55" i="12"/>
  <c r="N55" i="12" s="1"/>
  <c r="E55" i="12"/>
  <c r="M55" i="12" s="1"/>
  <c r="D55" i="12"/>
  <c r="L55" i="12" s="1"/>
  <c r="C55" i="12"/>
  <c r="K55" i="12" s="1"/>
  <c r="B55" i="12"/>
  <c r="J55" i="12" s="1"/>
  <c r="G54" i="12"/>
  <c r="O54" i="12" s="1"/>
  <c r="E54" i="12"/>
  <c r="M54" i="12" s="1"/>
  <c r="D54" i="12"/>
  <c r="L54" i="12" s="1"/>
  <c r="C54" i="12"/>
  <c r="K54" i="12" s="1"/>
  <c r="B54" i="12"/>
  <c r="J54" i="12" s="1"/>
  <c r="G53" i="12"/>
  <c r="O53" i="12" s="1"/>
  <c r="E53" i="12"/>
  <c r="M53" i="12" s="1"/>
  <c r="D53" i="12"/>
  <c r="L53" i="12" s="1"/>
  <c r="C53" i="12"/>
  <c r="K53" i="12" s="1"/>
  <c r="B53" i="12"/>
  <c r="J53" i="12" s="1"/>
  <c r="G52" i="12"/>
  <c r="O52" i="12" s="1"/>
  <c r="E52" i="12"/>
  <c r="M52" i="12" s="1"/>
  <c r="D52" i="12"/>
  <c r="L52" i="12" s="1"/>
  <c r="C52" i="12"/>
  <c r="K52" i="12" s="1"/>
  <c r="B52" i="12"/>
  <c r="J52" i="12" s="1"/>
  <c r="G51" i="12"/>
  <c r="O51" i="12" s="1"/>
  <c r="E51" i="12"/>
  <c r="M51" i="12" s="1"/>
  <c r="D51" i="12"/>
  <c r="L51" i="12" s="1"/>
  <c r="C51" i="12"/>
  <c r="K51" i="12" s="1"/>
  <c r="B51" i="12"/>
  <c r="J51" i="12" s="1"/>
  <c r="G50" i="12"/>
  <c r="O50" i="12" s="1"/>
  <c r="F50" i="12"/>
  <c r="N50" i="12" s="1"/>
  <c r="E50" i="12"/>
  <c r="M50" i="12" s="1"/>
  <c r="D50" i="12"/>
  <c r="L50" i="12" s="1"/>
  <c r="C50" i="12"/>
  <c r="K50" i="12" s="1"/>
  <c r="B50" i="12"/>
  <c r="J50" i="12" s="1"/>
  <c r="G49" i="12"/>
  <c r="O49" i="12" s="1"/>
  <c r="F49" i="12"/>
  <c r="N49" i="12" s="1"/>
  <c r="E49" i="12"/>
  <c r="M49" i="12" s="1"/>
  <c r="D49" i="12"/>
  <c r="L49" i="12" s="1"/>
  <c r="C49" i="12"/>
  <c r="K49" i="12" s="1"/>
  <c r="B49" i="12"/>
  <c r="J49" i="12" s="1"/>
  <c r="G48" i="12"/>
  <c r="O48" i="12" s="1"/>
  <c r="F48" i="12"/>
  <c r="N48" i="12" s="1"/>
  <c r="E48" i="12"/>
  <c r="M48" i="12" s="1"/>
  <c r="D48" i="12"/>
  <c r="L48" i="12" s="1"/>
  <c r="C48" i="12"/>
  <c r="K48" i="12" s="1"/>
  <c r="B48" i="12"/>
  <c r="J48" i="12" s="1"/>
  <c r="G47" i="12"/>
  <c r="O47" i="12" s="1"/>
  <c r="F47" i="12"/>
  <c r="N47" i="12" s="1"/>
  <c r="E47" i="12"/>
  <c r="M47" i="12" s="1"/>
  <c r="D47" i="12"/>
  <c r="L47" i="12" s="1"/>
  <c r="C47" i="12"/>
  <c r="K47" i="12" s="1"/>
  <c r="B47" i="12"/>
  <c r="J47" i="12" s="1"/>
  <c r="G46" i="12"/>
  <c r="O46" i="12" s="1"/>
  <c r="F46" i="12"/>
  <c r="N46" i="12" s="1"/>
  <c r="E46" i="12"/>
  <c r="M46" i="12" s="1"/>
  <c r="D46" i="12"/>
  <c r="L46" i="12" s="1"/>
  <c r="C46" i="12"/>
  <c r="K46" i="12" s="1"/>
  <c r="B46" i="12"/>
  <c r="J46" i="12" s="1"/>
  <c r="G45" i="12"/>
  <c r="O45" i="12" s="1"/>
  <c r="F45" i="12"/>
  <c r="N45" i="12" s="1"/>
  <c r="E45" i="12"/>
  <c r="M45" i="12" s="1"/>
  <c r="D45" i="12"/>
  <c r="L45" i="12" s="1"/>
  <c r="C45" i="12"/>
  <c r="K45" i="12" s="1"/>
  <c r="B45" i="12"/>
  <c r="J45" i="12" s="1"/>
  <c r="G44" i="12"/>
  <c r="O44" i="12" s="1"/>
  <c r="F44" i="12"/>
  <c r="N44" i="12" s="1"/>
  <c r="E44" i="12"/>
  <c r="M44" i="12" s="1"/>
  <c r="D44" i="12"/>
  <c r="L44" i="12" s="1"/>
  <c r="C44" i="12"/>
  <c r="K44" i="12" s="1"/>
  <c r="B44" i="12"/>
  <c r="J44" i="12" s="1"/>
  <c r="G43" i="12"/>
  <c r="O43" i="12" s="1"/>
  <c r="F43" i="12"/>
  <c r="N43" i="12" s="1"/>
  <c r="E43" i="12"/>
  <c r="M43" i="12" s="1"/>
  <c r="D43" i="12"/>
  <c r="L43" i="12" s="1"/>
  <c r="C43" i="12"/>
  <c r="K43" i="12" s="1"/>
  <c r="B43" i="12"/>
  <c r="J43" i="12" s="1"/>
  <c r="G42" i="12"/>
  <c r="O42" i="12" s="1"/>
  <c r="F42" i="12"/>
  <c r="N42" i="12" s="1"/>
  <c r="E42" i="12"/>
  <c r="M42" i="12" s="1"/>
  <c r="D42" i="12"/>
  <c r="L42" i="12" s="1"/>
  <c r="C42" i="12"/>
  <c r="K42" i="12" s="1"/>
  <c r="B42" i="12"/>
  <c r="J42" i="12" s="1"/>
  <c r="G41" i="12"/>
  <c r="O41" i="12" s="1"/>
  <c r="F41" i="12"/>
  <c r="N41" i="12" s="1"/>
  <c r="E41" i="12"/>
  <c r="M41" i="12" s="1"/>
  <c r="D41" i="12"/>
  <c r="L41" i="12" s="1"/>
  <c r="C41" i="12"/>
  <c r="K41" i="12" s="1"/>
  <c r="B41" i="12"/>
  <c r="J41" i="12" s="1"/>
  <c r="G40" i="12"/>
  <c r="O40" i="12" s="1"/>
  <c r="F40" i="12"/>
  <c r="N40" i="12" s="1"/>
  <c r="E40" i="12"/>
  <c r="M40" i="12" s="1"/>
  <c r="D40" i="12"/>
  <c r="L40" i="12" s="1"/>
  <c r="C40" i="12"/>
  <c r="K40" i="12" s="1"/>
  <c r="B40" i="12"/>
  <c r="J40" i="12" s="1"/>
  <c r="G39" i="12"/>
  <c r="O39" i="12" s="1"/>
  <c r="F39" i="12"/>
  <c r="N39" i="12" s="1"/>
  <c r="E39" i="12"/>
  <c r="M39" i="12" s="1"/>
  <c r="D39" i="12"/>
  <c r="L39" i="12" s="1"/>
  <c r="C39" i="12"/>
  <c r="K39" i="12" s="1"/>
  <c r="B39" i="12"/>
  <c r="J39" i="12" s="1"/>
  <c r="G38" i="12"/>
  <c r="O38" i="12" s="1"/>
  <c r="F38" i="12"/>
  <c r="N38" i="12" s="1"/>
  <c r="E38" i="12"/>
  <c r="M38" i="12" s="1"/>
  <c r="D38" i="12"/>
  <c r="L38" i="12" s="1"/>
  <c r="C38" i="12"/>
  <c r="K38" i="12" s="1"/>
  <c r="B38" i="12"/>
  <c r="J38" i="12" s="1"/>
  <c r="G37" i="12"/>
  <c r="O37" i="12" s="1"/>
  <c r="F37" i="12"/>
  <c r="N37" i="12" s="1"/>
  <c r="E37" i="12"/>
  <c r="M37" i="12" s="1"/>
  <c r="D37" i="12"/>
  <c r="L37" i="12" s="1"/>
  <c r="C37" i="12"/>
  <c r="K37" i="12" s="1"/>
  <c r="B37" i="12"/>
  <c r="J37" i="12" s="1"/>
  <c r="G36" i="12"/>
  <c r="O36" i="12" s="1"/>
  <c r="F36" i="12"/>
  <c r="N36" i="12" s="1"/>
  <c r="E36" i="12"/>
  <c r="M36" i="12" s="1"/>
  <c r="D36" i="12"/>
  <c r="L36" i="12" s="1"/>
  <c r="C36" i="12"/>
  <c r="K36" i="12" s="1"/>
  <c r="B36" i="12"/>
  <c r="J36" i="12" s="1"/>
  <c r="G35" i="12"/>
  <c r="O35" i="12" s="1"/>
  <c r="F35" i="12"/>
  <c r="N35" i="12" s="1"/>
  <c r="E35" i="12"/>
  <c r="M35" i="12" s="1"/>
  <c r="D35" i="12"/>
  <c r="L35" i="12" s="1"/>
  <c r="C35" i="12"/>
  <c r="K35" i="12" s="1"/>
  <c r="B35" i="12"/>
  <c r="J35" i="12" s="1"/>
  <c r="G34" i="12"/>
  <c r="O34" i="12" s="1"/>
  <c r="F34" i="12"/>
  <c r="N34" i="12" s="1"/>
  <c r="E34" i="12"/>
  <c r="M34" i="12" s="1"/>
  <c r="D34" i="12"/>
  <c r="L34" i="12" s="1"/>
  <c r="C34" i="12"/>
  <c r="K34" i="12" s="1"/>
  <c r="B34" i="12"/>
  <c r="J34" i="12" s="1"/>
  <c r="G33" i="12"/>
  <c r="O33" i="12" s="1"/>
  <c r="F33" i="12"/>
  <c r="N33" i="12" s="1"/>
  <c r="E33" i="12"/>
  <c r="M33" i="12" s="1"/>
  <c r="D33" i="12"/>
  <c r="L33" i="12" s="1"/>
  <c r="C33" i="12"/>
  <c r="K33" i="12" s="1"/>
  <c r="B33" i="12"/>
  <c r="J33" i="12" s="1"/>
  <c r="G32" i="12"/>
  <c r="O32" i="12" s="1"/>
  <c r="F32" i="12"/>
  <c r="N32" i="12" s="1"/>
  <c r="E32" i="12"/>
  <c r="M32" i="12" s="1"/>
  <c r="D32" i="12"/>
  <c r="L32" i="12" s="1"/>
  <c r="C32" i="12"/>
  <c r="K32" i="12" s="1"/>
  <c r="B32" i="12"/>
  <c r="J32" i="12" s="1"/>
  <c r="G31" i="12"/>
  <c r="O31" i="12" s="1"/>
  <c r="F31" i="12"/>
  <c r="N31" i="12" s="1"/>
  <c r="E31" i="12"/>
  <c r="M31" i="12" s="1"/>
  <c r="D31" i="12"/>
  <c r="L31" i="12" s="1"/>
  <c r="C31" i="12"/>
  <c r="K31" i="12" s="1"/>
  <c r="B31" i="12"/>
  <c r="J31" i="12" s="1"/>
  <c r="G30" i="12"/>
  <c r="O30" i="12" s="1"/>
  <c r="F30" i="12"/>
  <c r="N30" i="12" s="1"/>
  <c r="E30" i="12"/>
  <c r="M30" i="12" s="1"/>
  <c r="D30" i="12"/>
  <c r="L30" i="12" s="1"/>
  <c r="C30" i="12"/>
  <c r="K30" i="12" s="1"/>
  <c r="B30" i="12"/>
  <c r="J30" i="12" s="1"/>
  <c r="G29" i="12"/>
  <c r="O29" i="12" s="1"/>
  <c r="F29" i="12"/>
  <c r="N29" i="12" s="1"/>
  <c r="E29" i="12"/>
  <c r="M29" i="12" s="1"/>
  <c r="D29" i="12"/>
  <c r="L29" i="12" s="1"/>
  <c r="C29" i="12"/>
  <c r="K29" i="12" s="1"/>
  <c r="B29" i="12"/>
  <c r="J29" i="12" s="1"/>
  <c r="G28" i="12"/>
  <c r="O28" i="12" s="1"/>
  <c r="F28" i="12"/>
  <c r="N28" i="12" s="1"/>
  <c r="E28" i="12"/>
  <c r="M28" i="12" s="1"/>
  <c r="D28" i="12"/>
  <c r="L28" i="12" s="1"/>
  <c r="C28" i="12"/>
  <c r="K28" i="12" s="1"/>
  <c r="B28" i="12"/>
  <c r="J28" i="12" s="1"/>
  <c r="G27" i="12"/>
  <c r="O27" i="12" s="1"/>
  <c r="F27" i="12"/>
  <c r="N27" i="12" s="1"/>
  <c r="E27" i="12"/>
  <c r="M27" i="12" s="1"/>
  <c r="D27" i="12"/>
  <c r="L27" i="12" s="1"/>
  <c r="C27" i="12"/>
  <c r="K27" i="12" s="1"/>
  <c r="B27" i="12"/>
  <c r="J27" i="12" s="1"/>
  <c r="G26" i="12"/>
  <c r="O26" i="12" s="1"/>
  <c r="F26" i="12"/>
  <c r="N26" i="12" s="1"/>
  <c r="E26" i="12"/>
  <c r="M26" i="12" s="1"/>
  <c r="D26" i="12"/>
  <c r="L26" i="12" s="1"/>
  <c r="C26" i="12"/>
  <c r="K26" i="12" s="1"/>
  <c r="B26" i="12"/>
  <c r="J26" i="12" s="1"/>
  <c r="G25" i="12"/>
  <c r="O25" i="12" s="1"/>
  <c r="F25" i="12"/>
  <c r="N25" i="12" s="1"/>
  <c r="E25" i="12"/>
  <c r="M25" i="12" s="1"/>
  <c r="D25" i="12"/>
  <c r="L25" i="12" s="1"/>
  <c r="C25" i="12"/>
  <c r="K25" i="12" s="1"/>
  <c r="B25" i="12"/>
  <c r="J25" i="12" s="1"/>
  <c r="G24" i="12"/>
  <c r="O24" i="12" s="1"/>
  <c r="F24" i="12"/>
  <c r="N24" i="12" s="1"/>
  <c r="E24" i="12"/>
  <c r="M24" i="12" s="1"/>
  <c r="D24" i="12"/>
  <c r="L24" i="12" s="1"/>
  <c r="C24" i="12"/>
  <c r="K24" i="12" s="1"/>
  <c r="B24" i="12"/>
  <c r="J24" i="12" s="1"/>
  <c r="G23" i="12"/>
  <c r="O23" i="12" s="1"/>
  <c r="F23" i="12"/>
  <c r="N23" i="12" s="1"/>
  <c r="E23" i="12"/>
  <c r="M23" i="12" s="1"/>
  <c r="D23" i="12"/>
  <c r="L23" i="12" s="1"/>
  <c r="C23" i="12"/>
  <c r="K23" i="12" s="1"/>
  <c r="B23" i="12"/>
  <c r="J23" i="12" s="1"/>
  <c r="G22" i="12"/>
  <c r="O22" i="12" s="1"/>
  <c r="F22" i="12"/>
  <c r="N22" i="12" s="1"/>
  <c r="E22" i="12"/>
  <c r="M22" i="12" s="1"/>
  <c r="D22" i="12"/>
  <c r="L22" i="12" s="1"/>
  <c r="C22" i="12"/>
  <c r="K22" i="12" s="1"/>
  <c r="B22" i="12"/>
  <c r="J22" i="12" s="1"/>
  <c r="G21" i="12"/>
  <c r="O21" i="12" s="1"/>
  <c r="F21" i="12"/>
  <c r="N21" i="12" s="1"/>
  <c r="E21" i="12"/>
  <c r="M21" i="12" s="1"/>
  <c r="D21" i="12"/>
  <c r="L21" i="12" s="1"/>
  <c r="C21" i="12"/>
  <c r="K21" i="12" s="1"/>
  <c r="B21" i="12"/>
  <c r="J21" i="12" s="1"/>
  <c r="G20" i="12"/>
  <c r="O20" i="12" s="1"/>
  <c r="F20" i="12"/>
  <c r="N20" i="12" s="1"/>
  <c r="E20" i="12"/>
  <c r="M20" i="12" s="1"/>
  <c r="D20" i="12"/>
  <c r="L20" i="12" s="1"/>
  <c r="C20" i="12"/>
  <c r="K20" i="12" s="1"/>
  <c r="B20" i="12"/>
  <c r="J20" i="12" s="1"/>
  <c r="G19" i="12"/>
  <c r="O19" i="12" s="1"/>
  <c r="F19" i="12"/>
  <c r="N19" i="12" s="1"/>
  <c r="E19" i="12"/>
  <c r="M19" i="12" s="1"/>
  <c r="D19" i="12"/>
  <c r="L19" i="12" s="1"/>
  <c r="C19" i="12"/>
  <c r="K19" i="12" s="1"/>
  <c r="B19" i="12"/>
  <c r="J19" i="12" s="1"/>
  <c r="G18" i="12"/>
  <c r="O18" i="12" s="1"/>
  <c r="F18" i="12"/>
  <c r="N18" i="12" s="1"/>
  <c r="E18" i="12"/>
  <c r="M18" i="12" s="1"/>
  <c r="D18" i="12"/>
  <c r="L18" i="12" s="1"/>
  <c r="C18" i="12"/>
  <c r="K18" i="12" s="1"/>
  <c r="B18" i="12"/>
  <c r="J18" i="12" s="1"/>
  <c r="G17" i="12"/>
  <c r="O17" i="12" s="1"/>
  <c r="F17" i="12"/>
  <c r="N17" i="12" s="1"/>
  <c r="E17" i="12"/>
  <c r="M17" i="12" s="1"/>
  <c r="D17" i="12"/>
  <c r="L17" i="12" s="1"/>
  <c r="C17" i="12"/>
  <c r="K17" i="12" s="1"/>
  <c r="B17" i="12"/>
  <c r="J17" i="12" s="1"/>
  <c r="G16" i="12"/>
  <c r="O16" i="12" s="1"/>
  <c r="F16" i="12"/>
  <c r="N16" i="12" s="1"/>
  <c r="E16" i="12"/>
  <c r="M16" i="12" s="1"/>
  <c r="D16" i="12"/>
  <c r="L16" i="12" s="1"/>
  <c r="C16" i="12"/>
  <c r="K16" i="12" s="1"/>
  <c r="B16" i="12"/>
  <c r="J16" i="12" s="1"/>
  <c r="G15" i="12"/>
  <c r="O15" i="12" s="1"/>
  <c r="F15" i="12"/>
  <c r="N15" i="12" s="1"/>
  <c r="E15" i="12"/>
  <c r="M15" i="12" s="1"/>
  <c r="D15" i="12"/>
  <c r="L15" i="12" s="1"/>
  <c r="C15" i="12"/>
  <c r="K15" i="12" s="1"/>
  <c r="B15" i="12"/>
  <c r="J15" i="12" s="1"/>
  <c r="G14" i="12"/>
  <c r="O14" i="12" s="1"/>
  <c r="F14" i="12"/>
  <c r="N14" i="12" s="1"/>
  <c r="E14" i="12"/>
  <c r="M14" i="12" s="1"/>
  <c r="D14" i="12"/>
  <c r="L14" i="12" s="1"/>
  <c r="C14" i="12"/>
  <c r="K14" i="12" s="1"/>
  <c r="B14" i="12"/>
  <c r="J14" i="12" s="1"/>
  <c r="G13" i="12"/>
  <c r="O13" i="12" s="1"/>
  <c r="F13" i="12"/>
  <c r="N13" i="12" s="1"/>
  <c r="E13" i="12"/>
  <c r="M13" i="12" s="1"/>
  <c r="D13" i="12"/>
  <c r="L13" i="12" s="1"/>
  <c r="C13" i="12"/>
  <c r="K13" i="12" s="1"/>
  <c r="B13" i="12"/>
  <c r="J13" i="12" s="1"/>
  <c r="G12" i="12"/>
  <c r="O12" i="12" s="1"/>
  <c r="F12" i="12"/>
  <c r="N12" i="12" s="1"/>
  <c r="E12" i="12"/>
  <c r="M12" i="12" s="1"/>
  <c r="D12" i="12"/>
  <c r="L12" i="12" s="1"/>
  <c r="C12" i="12"/>
  <c r="K12" i="12" s="1"/>
  <c r="B12" i="12"/>
  <c r="J12" i="12" s="1"/>
  <c r="G11" i="12"/>
  <c r="O11" i="12" s="1"/>
  <c r="F11" i="12"/>
  <c r="N11" i="12" s="1"/>
  <c r="E11" i="12"/>
  <c r="M11" i="12" s="1"/>
  <c r="D11" i="12"/>
  <c r="L11" i="12" s="1"/>
  <c r="C11" i="12"/>
  <c r="K11" i="12" s="1"/>
  <c r="B11" i="12"/>
  <c r="J11" i="12" s="1"/>
  <c r="G10" i="12"/>
  <c r="O10" i="12" s="1"/>
  <c r="F10" i="12"/>
  <c r="N10" i="12" s="1"/>
  <c r="E10" i="12"/>
  <c r="M10" i="12" s="1"/>
  <c r="D10" i="12"/>
  <c r="L10" i="12" s="1"/>
  <c r="C10" i="12"/>
  <c r="K10" i="12" s="1"/>
  <c r="B10" i="12"/>
  <c r="J10" i="12" s="1"/>
  <c r="G9" i="12"/>
  <c r="O9" i="12" s="1"/>
  <c r="F9" i="12"/>
  <c r="N9" i="12" s="1"/>
  <c r="E9" i="12"/>
  <c r="M9" i="12" s="1"/>
  <c r="D9" i="12"/>
  <c r="L9" i="12" s="1"/>
  <c r="C9" i="12"/>
  <c r="K9" i="12" s="1"/>
  <c r="B9" i="12"/>
  <c r="J9" i="12" s="1"/>
  <c r="G8" i="12"/>
  <c r="O8" i="12" s="1"/>
  <c r="F8" i="12"/>
  <c r="N8" i="12" s="1"/>
  <c r="E8" i="12"/>
  <c r="M8" i="12" s="1"/>
  <c r="D8" i="12"/>
  <c r="L8" i="12" s="1"/>
  <c r="C8" i="12"/>
  <c r="K8" i="12" s="1"/>
  <c r="B8" i="12"/>
  <c r="J8" i="12" s="1"/>
  <c r="G7" i="12"/>
  <c r="O7" i="12" s="1"/>
  <c r="F7" i="12"/>
  <c r="N7" i="12" s="1"/>
  <c r="E7" i="12"/>
  <c r="M7" i="12" s="1"/>
  <c r="D7" i="12"/>
  <c r="L7" i="12" s="1"/>
  <c r="C7" i="12"/>
  <c r="K7" i="12" s="1"/>
  <c r="B7" i="12"/>
  <c r="J7" i="12" s="1"/>
  <c r="G6" i="12"/>
  <c r="O6" i="12" s="1"/>
  <c r="F6" i="12"/>
  <c r="N6" i="12" s="1"/>
  <c r="E6" i="12"/>
  <c r="M6" i="12" s="1"/>
  <c r="D6" i="12"/>
  <c r="L6" i="12" s="1"/>
  <c r="C6" i="12"/>
  <c r="K6" i="12" s="1"/>
  <c r="B6" i="12"/>
  <c r="J6" i="12" s="1"/>
  <c r="G5" i="12"/>
  <c r="O5" i="12" s="1"/>
  <c r="F5" i="12"/>
  <c r="N5" i="12" s="1"/>
  <c r="E5" i="12"/>
  <c r="M5" i="12" s="1"/>
  <c r="D5" i="12"/>
  <c r="L5" i="12" s="1"/>
  <c r="C5" i="12"/>
  <c r="K5" i="12" s="1"/>
  <c r="B5" i="12"/>
  <c r="J5" i="12" s="1"/>
  <c r="G4" i="12"/>
  <c r="O4" i="12" s="1"/>
  <c r="F4" i="12"/>
  <c r="N4" i="12" s="1"/>
  <c r="E4" i="12"/>
  <c r="M4" i="12" s="1"/>
  <c r="D4" i="12"/>
  <c r="L4" i="12" s="1"/>
  <c r="C4" i="12"/>
  <c r="K4" i="12" s="1"/>
  <c r="B4" i="12"/>
  <c r="J4" i="12" s="1"/>
  <c r="G3" i="12"/>
  <c r="O3" i="12" s="1"/>
  <c r="F3" i="12"/>
  <c r="E3" i="12"/>
  <c r="M3" i="12" s="1"/>
  <c r="D3" i="12"/>
  <c r="L3" i="12" s="1"/>
  <c r="C3" i="12"/>
  <c r="K3" i="12" s="1"/>
  <c r="B3" i="12"/>
  <c r="J3" i="12" s="1"/>
  <c r="G2" i="12"/>
  <c r="O2" i="12" s="1"/>
  <c r="E2" i="12"/>
  <c r="M2" i="12" s="1"/>
  <c r="D2" i="12"/>
  <c r="L2" i="12" s="1"/>
  <c r="C2" i="12"/>
  <c r="K2" i="12" s="1"/>
  <c r="B2" i="12"/>
  <c r="G281" i="9"/>
  <c r="G280" i="9"/>
  <c r="G279" i="9"/>
  <c r="F74" i="2"/>
  <c r="G278" i="9"/>
  <c r="F281" i="9"/>
  <c r="F279" i="9"/>
  <c r="F280" i="9"/>
  <c r="F278" i="9"/>
  <c r="E281" i="9"/>
  <c r="E280" i="9"/>
  <c r="E279" i="9"/>
  <c r="E278" i="9"/>
  <c r="D280" i="9"/>
  <c r="D281" i="9"/>
  <c r="D279" i="9"/>
  <c r="D278" i="9"/>
  <c r="C281" i="9"/>
  <c r="C280" i="9"/>
  <c r="C279" i="9"/>
  <c r="C278" i="9"/>
  <c r="B281" i="9"/>
  <c r="B280" i="9"/>
  <c r="B279" i="9"/>
  <c r="B278" i="9"/>
  <c r="G277" i="9"/>
  <c r="G276" i="9"/>
  <c r="G275" i="9"/>
  <c r="G274" i="9"/>
  <c r="F277" i="9"/>
  <c r="F276" i="9"/>
  <c r="F275" i="9"/>
  <c r="F274" i="9"/>
  <c r="E277" i="9"/>
  <c r="E276" i="9"/>
  <c r="E275" i="9"/>
  <c r="E274" i="9"/>
  <c r="D277" i="9"/>
  <c r="D276" i="9"/>
  <c r="D275" i="9"/>
  <c r="D274" i="9"/>
  <c r="C277" i="9"/>
  <c r="C276" i="9"/>
  <c r="C275" i="9"/>
  <c r="C274" i="9"/>
  <c r="B277" i="9"/>
  <c r="B276" i="9"/>
  <c r="B275" i="9"/>
  <c r="B274" i="9"/>
  <c r="G273" i="9"/>
  <c r="G272" i="9"/>
  <c r="G271" i="9"/>
  <c r="G270" i="9"/>
  <c r="F273" i="9"/>
  <c r="F272" i="9"/>
  <c r="F271" i="9"/>
  <c r="F270" i="9"/>
  <c r="E273" i="9"/>
  <c r="E272" i="9"/>
  <c r="E271" i="9"/>
  <c r="E270" i="9"/>
  <c r="D273" i="9"/>
  <c r="D272" i="9"/>
  <c r="D271" i="9"/>
  <c r="D270" i="9"/>
  <c r="C273" i="9"/>
  <c r="C272" i="9"/>
  <c r="C271" i="9"/>
  <c r="C270" i="9"/>
  <c r="B273" i="9"/>
  <c r="B272" i="9"/>
  <c r="B271" i="9"/>
  <c r="B270" i="9"/>
  <c r="G269" i="9"/>
  <c r="G268" i="9"/>
  <c r="G267" i="9"/>
  <c r="G266" i="9"/>
  <c r="F269" i="9"/>
  <c r="F268" i="9"/>
  <c r="F267" i="9"/>
  <c r="F266" i="9"/>
  <c r="E269" i="9"/>
  <c r="E268" i="9"/>
  <c r="E267" i="9"/>
  <c r="E266" i="9"/>
  <c r="D269" i="9"/>
  <c r="D268" i="9"/>
  <c r="D267" i="9"/>
  <c r="D266" i="9"/>
  <c r="C269" i="9"/>
  <c r="C268" i="9"/>
  <c r="C267" i="9"/>
  <c r="C266" i="9"/>
  <c r="B269" i="9"/>
  <c r="B268" i="9"/>
  <c r="B267" i="9"/>
  <c r="B266" i="9"/>
  <c r="G264" i="9"/>
  <c r="G263" i="9"/>
  <c r="G262" i="9"/>
  <c r="F265" i="9"/>
  <c r="F263" i="9"/>
  <c r="F264" i="9"/>
  <c r="F262" i="9"/>
  <c r="E265" i="9"/>
  <c r="E264" i="9"/>
  <c r="E263" i="9"/>
  <c r="E262" i="9"/>
  <c r="D265" i="9"/>
  <c r="D264" i="9"/>
  <c r="D263" i="9"/>
  <c r="D262" i="9"/>
  <c r="C265" i="9"/>
  <c r="C264" i="9"/>
  <c r="C263" i="9"/>
  <c r="C262" i="9"/>
  <c r="B265" i="9"/>
  <c r="B264" i="9"/>
  <c r="B263" i="9"/>
  <c r="B262" i="9"/>
  <c r="G259" i="9"/>
  <c r="G258" i="9"/>
  <c r="F261" i="9"/>
  <c r="F260" i="9"/>
  <c r="F259" i="9"/>
  <c r="F258" i="9"/>
  <c r="E261" i="9"/>
  <c r="E260" i="9"/>
  <c r="E259" i="9"/>
  <c r="E258" i="9"/>
  <c r="D261" i="9"/>
  <c r="D260" i="9"/>
  <c r="D259" i="9"/>
  <c r="D258" i="9"/>
  <c r="C261" i="9"/>
  <c r="C260" i="9"/>
  <c r="C259" i="9"/>
  <c r="C258" i="9"/>
  <c r="B261" i="9"/>
  <c r="B260" i="9"/>
  <c r="B259" i="9"/>
  <c r="B258" i="9"/>
  <c r="G257" i="9"/>
  <c r="G256" i="9"/>
  <c r="G255" i="9"/>
  <c r="G254" i="9"/>
  <c r="F257" i="9"/>
  <c r="F256" i="9"/>
  <c r="F255" i="9"/>
  <c r="F254" i="9"/>
  <c r="E257" i="9"/>
  <c r="E256" i="9"/>
  <c r="E255" i="9"/>
  <c r="E254" i="9"/>
  <c r="D257" i="9"/>
  <c r="D256" i="9"/>
  <c r="D255" i="9"/>
  <c r="D254" i="9"/>
  <c r="C257" i="9"/>
  <c r="C256" i="9"/>
  <c r="C255" i="9"/>
  <c r="C254" i="9"/>
  <c r="B257" i="9"/>
  <c r="B256" i="9"/>
  <c r="B255" i="9"/>
  <c r="B254" i="9"/>
  <c r="G253" i="9"/>
  <c r="G252" i="9"/>
  <c r="G251" i="9"/>
  <c r="G250" i="9"/>
  <c r="F253" i="9"/>
  <c r="F252" i="9"/>
  <c r="F251" i="9"/>
  <c r="F249" i="9"/>
  <c r="F250" i="9"/>
  <c r="D253" i="9"/>
  <c r="D252" i="9"/>
  <c r="D251" i="9"/>
  <c r="D250" i="9"/>
  <c r="E253" i="9"/>
  <c r="E252" i="9"/>
  <c r="E251" i="9"/>
  <c r="E250" i="9"/>
  <c r="C253" i="9"/>
  <c r="C252" i="9"/>
  <c r="C251" i="9"/>
  <c r="C250" i="9"/>
  <c r="B253" i="9"/>
  <c r="B252" i="9"/>
  <c r="B251" i="9"/>
  <c r="B250" i="9"/>
  <c r="G249" i="9"/>
  <c r="G248" i="9"/>
  <c r="G247" i="9"/>
  <c r="G246" i="9"/>
  <c r="F248" i="9"/>
  <c r="F246" i="9"/>
  <c r="F247" i="9"/>
  <c r="E249" i="9"/>
  <c r="E248" i="9"/>
  <c r="E247" i="9"/>
  <c r="E246" i="9"/>
  <c r="D249" i="9"/>
  <c r="D248" i="9"/>
  <c r="D247" i="9"/>
  <c r="D246" i="9"/>
  <c r="C249" i="9"/>
  <c r="C248" i="9"/>
  <c r="C247" i="9"/>
  <c r="C246" i="9"/>
  <c r="B249" i="9"/>
  <c r="B248" i="9"/>
  <c r="B247" i="9"/>
  <c r="B246" i="9"/>
  <c r="G244" i="9"/>
  <c r="G242" i="9"/>
  <c r="F245" i="9"/>
  <c r="F244" i="9"/>
  <c r="F243" i="9"/>
  <c r="F242" i="9"/>
  <c r="E245" i="9"/>
  <c r="E244" i="9"/>
  <c r="E243" i="9"/>
  <c r="E242" i="9"/>
  <c r="D245" i="9"/>
  <c r="D244" i="9"/>
  <c r="D243" i="9"/>
  <c r="D242" i="9"/>
  <c r="C245" i="9"/>
  <c r="C244" i="9"/>
  <c r="C243" i="9"/>
  <c r="C242" i="9"/>
  <c r="B245" i="9"/>
  <c r="B244" i="9"/>
  <c r="B243" i="9"/>
  <c r="B242" i="9"/>
  <c r="F191" i="12" l="1"/>
  <c r="N3" i="12"/>
  <c r="J191" i="12"/>
  <c r="J2" i="12"/>
  <c r="C191" i="12"/>
  <c r="E191" i="12"/>
  <c r="D191" i="12"/>
  <c r="G241" i="9"/>
  <c r="G240" i="9"/>
  <c r="G239" i="9"/>
  <c r="G238" i="9"/>
  <c r="F241" i="9"/>
  <c r="F240" i="9"/>
  <c r="F239" i="9"/>
  <c r="F238" i="9"/>
  <c r="E241" i="9"/>
  <c r="E240" i="9"/>
  <c r="E239" i="9"/>
  <c r="E238" i="9"/>
  <c r="D241" i="9"/>
  <c r="D240" i="9"/>
  <c r="D239" i="9"/>
  <c r="D238" i="9"/>
  <c r="C241" i="9"/>
  <c r="C240" i="9"/>
  <c r="C239" i="9"/>
  <c r="C238" i="9"/>
  <c r="B241" i="9"/>
  <c r="B240" i="9"/>
  <c r="B239" i="9"/>
  <c r="B238" i="9"/>
  <c r="G237" i="9"/>
  <c r="G236" i="9"/>
  <c r="G235" i="9"/>
  <c r="G234" i="9"/>
  <c r="F237" i="9"/>
  <c r="F236" i="9"/>
  <c r="F235" i="9"/>
  <c r="F234" i="9"/>
  <c r="E237" i="9"/>
  <c r="E236" i="9"/>
  <c r="E235" i="9"/>
  <c r="E234" i="9"/>
  <c r="D237" i="9"/>
  <c r="D236" i="9"/>
  <c r="D235" i="9"/>
  <c r="D234" i="9"/>
  <c r="C237" i="9"/>
  <c r="C236" i="9"/>
  <c r="C235" i="9"/>
  <c r="C234" i="9"/>
  <c r="B237" i="9"/>
  <c r="B236" i="9"/>
  <c r="B235" i="9"/>
  <c r="B234" i="9"/>
  <c r="G233" i="9"/>
  <c r="G232" i="9"/>
  <c r="G231" i="9"/>
  <c r="G230" i="9"/>
  <c r="F233" i="9"/>
  <c r="F232" i="9"/>
  <c r="F231" i="9"/>
  <c r="F230" i="9"/>
  <c r="E233" i="9"/>
  <c r="E232" i="9"/>
  <c r="E231" i="9"/>
  <c r="E230" i="9"/>
  <c r="D233" i="9"/>
  <c r="D232" i="9"/>
  <c r="D231" i="9"/>
  <c r="D230" i="9"/>
  <c r="C233" i="9"/>
  <c r="C232" i="9"/>
  <c r="C231" i="9"/>
  <c r="C230" i="9"/>
  <c r="B233" i="9"/>
  <c r="B232" i="9"/>
  <c r="B231" i="9"/>
  <c r="B230" i="9"/>
  <c r="G229" i="9"/>
  <c r="G228" i="9"/>
  <c r="G227" i="9"/>
  <c r="G226" i="9"/>
  <c r="F229" i="9"/>
  <c r="F228" i="9"/>
  <c r="F227" i="9"/>
  <c r="F226" i="9"/>
  <c r="E229" i="9"/>
  <c r="E228" i="9"/>
  <c r="E227" i="9"/>
  <c r="E226" i="9"/>
  <c r="D229" i="9"/>
  <c r="D228" i="9"/>
  <c r="D227" i="9"/>
  <c r="D226" i="9"/>
  <c r="C229" i="9"/>
  <c r="C228" i="9"/>
  <c r="C227" i="9"/>
  <c r="C226" i="9"/>
  <c r="B229" i="9"/>
  <c r="B228" i="9"/>
  <c r="B227" i="9"/>
  <c r="B226" i="9"/>
  <c r="G225" i="9"/>
  <c r="G224" i="9"/>
  <c r="G223" i="9"/>
  <c r="G222" i="9"/>
  <c r="F225" i="9"/>
  <c r="F224" i="9"/>
  <c r="F222" i="9"/>
  <c r="F223" i="9"/>
  <c r="E225" i="9"/>
  <c r="E224" i="9"/>
  <c r="E223" i="9"/>
  <c r="E222" i="9"/>
  <c r="D222" i="9"/>
  <c r="D225" i="9"/>
  <c r="D224" i="9"/>
  <c r="D223" i="9"/>
  <c r="C225" i="9"/>
  <c r="C224" i="9"/>
  <c r="C223" i="9"/>
  <c r="C222" i="9"/>
  <c r="B225" i="9"/>
  <c r="B224" i="9"/>
  <c r="B223" i="9"/>
  <c r="B222" i="9"/>
  <c r="G221" i="9"/>
  <c r="G220" i="9"/>
  <c r="G219" i="9"/>
  <c r="G218" i="9"/>
  <c r="F221" i="9"/>
  <c r="F220" i="9"/>
  <c r="F219" i="9"/>
  <c r="F218" i="9"/>
  <c r="E221" i="9"/>
  <c r="E220" i="9"/>
  <c r="E219" i="9"/>
  <c r="E218" i="9"/>
  <c r="D221" i="9"/>
  <c r="D220" i="9"/>
  <c r="D219" i="9"/>
  <c r="D218" i="9"/>
  <c r="C221" i="9"/>
  <c r="C220" i="9"/>
  <c r="C219" i="9"/>
  <c r="C218" i="9"/>
  <c r="B221" i="9"/>
  <c r="B220" i="9"/>
  <c r="B219" i="9"/>
  <c r="B218" i="9"/>
  <c r="G217" i="9"/>
  <c r="G216" i="9"/>
  <c r="G215" i="9"/>
  <c r="G214" i="9"/>
  <c r="F217" i="9"/>
  <c r="F216" i="9"/>
  <c r="F215" i="9"/>
  <c r="F214" i="9"/>
  <c r="E217" i="9"/>
  <c r="E216" i="9"/>
  <c r="E215" i="9"/>
  <c r="E214" i="9"/>
  <c r="D217" i="9"/>
  <c r="D216" i="9"/>
  <c r="D215" i="9"/>
  <c r="D214" i="9"/>
  <c r="C217" i="9"/>
  <c r="C216" i="9"/>
  <c r="C215" i="9"/>
  <c r="C214" i="9"/>
  <c r="B217" i="9"/>
  <c r="B216" i="9"/>
  <c r="B215" i="9"/>
  <c r="B214" i="9"/>
  <c r="G213" i="9"/>
  <c r="G212" i="9"/>
  <c r="G211" i="9"/>
  <c r="G210" i="9"/>
  <c r="F213" i="9"/>
  <c r="F212" i="9"/>
  <c r="F211" i="9"/>
  <c r="F210" i="9"/>
  <c r="E213" i="9"/>
  <c r="E212" i="9"/>
  <c r="E211" i="9"/>
  <c r="E210" i="9"/>
  <c r="D213" i="9"/>
  <c r="D212" i="9"/>
  <c r="D211" i="9"/>
  <c r="D210" i="9"/>
  <c r="C213" i="9"/>
  <c r="C212" i="9"/>
  <c r="C211" i="9"/>
  <c r="C210" i="9"/>
  <c r="B213" i="9"/>
  <c r="B212" i="9"/>
  <c r="B211" i="9"/>
  <c r="B210" i="9"/>
  <c r="G209" i="9"/>
  <c r="G208" i="9"/>
  <c r="G207" i="9"/>
  <c r="G206" i="9"/>
  <c r="F209" i="9"/>
  <c r="F208" i="9"/>
  <c r="F207" i="9"/>
  <c r="F205" i="9"/>
  <c r="F206" i="9"/>
  <c r="E209" i="9"/>
  <c r="E208" i="9"/>
  <c r="E207" i="9"/>
  <c r="E206" i="9"/>
  <c r="D209" i="9"/>
  <c r="D208" i="9"/>
  <c r="D207" i="9"/>
  <c r="D206" i="9"/>
  <c r="C209" i="9"/>
  <c r="C208" i="9"/>
  <c r="C207" i="9"/>
  <c r="C206" i="9"/>
  <c r="B209" i="9"/>
  <c r="B208" i="9"/>
  <c r="B207" i="9"/>
  <c r="B206" i="9"/>
  <c r="G205" i="9"/>
  <c r="G204" i="9"/>
  <c r="G203" i="9"/>
  <c r="G202" i="9"/>
  <c r="F204" i="9"/>
  <c r="F203" i="9"/>
  <c r="F202" i="9"/>
  <c r="E205" i="9"/>
  <c r="E204" i="9"/>
  <c r="E203" i="9"/>
  <c r="E202" i="9"/>
  <c r="D205" i="9"/>
  <c r="D204" i="9"/>
  <c r="D203" i="9"/>
  <c r="D202" i="9"/>
  <c r="C205" i="9"/>
  <c r="C204" i="9"/>
  <c r="C203" i="9"/>
  <c r="C202" i="9"/>
  <c r="B205" i="9"/>
  <c r="B204" i="9"/>
  <c r="B203" i="9"/>
  <c r="B202" i="9"/>
  <c r="G201" i="9"/>
  <c r="G200" i="9"/>
  <c r="G199" i="9"/>
  <c r="G198" i="9"/>
  <c r="F201" i="9"/>
  <c r="F200" i="9"/>
  <c r="F199" i="9"/>
  <c r="F198" i="9"/>
  <c r="E201" i="9"/>
  <c r="E200" i="9"/>
  <c r="E199" i="9"/>
  <c r="E198" i="9"/>
  <c r="D201" i="9"/>
  <c r="D200" i="9"/>
  <c r="D199" i="9"/>
  <c r="D198" i="9"/>
  <c r="C201" i="9"/>
  <c r="C200" i="9"/>
  <c r="C199" i="9"/>
  <c r="C198" i="9"/>
  <c r="B201" i="9"/>
  <c r="B200" i="9"/>
  <c r="B199" i="9"/>
  <c r="B198" i="9"/>
  <c r="G197" i="9"/>
  <c r="G196" i="9"/>
  <c r="G195" i="9"/>
  <c r="G194" i="9"/>
  <c r="F197" i="9"/>
  <c r="F196" i="9"/>
  <c r="F195" i="9"/>
  <c r="F194" i="9"/>
  <c r="E197" i="9"/>
  <c r="E196" i="9"/>
  <c r="E195" i="9"/>
  <c r="E194" i="9"/>
  <c r="D197" i="9"/>
  <c r="D196" i="9"/>
  <c r="D195" i="9"/>
  <c r="D194" i="9"/>
  <c r="C197" i="9"/>
  <c r="C196" i="9"/>
  <c r="C195" i="9"/>
  <c r="C194" i="9"/>
  <c r="B197" i="9"/>
  <c r="B196" i="9"/>
  <c r="B195" i="9"/>
  <c r="B194" i="9"/>
  <c r="G193" i="9"/>
  <c r="G192" i="9"/>
  <c r="G191" i="9"/>
  <c r="G190" i="9"/>
  <c r="F193" i="9"/>
  <c r="F192" i="9"/>
  <c r="F190" i="9"/>
  <c r="F191" i="9"/>
  <c r="E193" i="9"/>
  <c r="E192" i="9"/>
  <c r="E191" i="9"/>
  <c r="E190" i="9"/>
  <c r="D193" i="9"/>
  <c r="D192" i="9"/>
  <c r="D191" i="9"/>
  <c r="D190" i="9"/>
  <c r="C193" i="9"/>
  <c r="C192" i="9"/>
  <c r="C191" i="9"/>
  <c r="C190" i="9"/>
  <c r="B193" i="9"/>
  <c r="B192" i="9"/>
  <c r="B191" i="9"/>
  <c r="B190" i="9"/>
  <c r="G189" i="9"/>
  <c r="G188" i="9"/>
  <c r="G187" i="9"/>
  <c r="G186" i="9"/>
  <c r="F189" i="9"/>
  <c r="F188" i="9"/>
  <c r="F187" i="9"/>
  <c r="F186" i="9"/>
  <c r="E189" i="9"/>
  <c r="E188" i="9"/>
  <c r="E187" i="9"/>
  <c r="E186" i="9"/>
  <c r="D189" i="9"/>
  <c r="D188" i="9"/>
  <c r="D187" i="9"/>
  <c r="D186" i="9"/>
  <c r="C189" i="9"/>
  <c r="C188" i="9"/>
  <c r="C187" i="9"/>
  <c r="C186" i="9"/>
  <c r="B189" i="9"/>
  <c r="B188" i="9"/>
  <c r="B187" i="9"/>
  <c r="B186" i="9"/>
  <c r="G185" i="9"/>
  <c r="G184" i="9"/>
  <c r="G183" i="9"/>
  <c r="G182" i="9"/>
  <c r="F185" i="9"/>
  <c r="F184" i="9"/>
  <c r="F183" i="9"/>
  <c r="F182" i="9"/>
  <c r="E182" i="9"/>
  <c r="E185" i="9"/>
  <c r="E184" i="9"/>
  <c r="E183" i="9"/>
  <c r="D185" i="9"/>
  <c r="D184" i="9"/>
  <c r="D183" i="9"/>
  <c r="D182" i="9"/>
  <c r="C185" i="9"/>
  <c r="C184" i="9"/>
  <c r="C183" i="9"/>
  <c r="C182" i="9"/>
  <c r="B185" i="9"/>
  <c r="B184" i="9"/>
  <c r="B183" i="9"/>
  <c r="B182" i="9"/>
  <c r="G181" i="9"/>
  <c r="G180" i="9"/>
  <c r="G179" i="9"/>
  <c r="G178" i="9"/>
  <c r="F181" i="9"/>
  <c r="F180" i="9"/>
  <c r="F179" i="9"/>
  <c r="F178" i="9"/>
  <c r="E181" i="9"/>
  <c r="E180" i="9"/>
  <c r="E179" i="9"/>
  <c r="E178" i="9"/>
  <c r="D181" i="9"/>
  <c r="D180" i="9"/>
  <c r="D179" i="9"/>
  <c r="D178" i="9"/>
  <c r="C181" i="9"/>
  <c r="C180" i="9"/>
  <c r="C179" i="9"/>
  <c r="C178" i="9"/>
  <c r="B181" i="9"/>
  <c r="B180" i="9"/>
  <c r="B179" i="9"/>
  <c r="B178" i="9"/>
  <c r="G177" i="9"/>
  <c r="G176" i="9"/>
  <c r="G175" i="9"/>
  <c r="G174" i="9"/>
  <c r="F177" i="9"/>
  <c r="F176" i="9"/>
  <c r="F175" i="9"/>
  <c r="F174" i="9"/>
  <c r="E177" i="9"/>
  <c r="E176" i="9"/>
  <c r="E175" i="9"/>
  <c r="E174" i="9"/>
  <c r="D177" i="9"/>
  <c r="D176" i="9"/>
  <c r="D175" i="9"/>
  <c r="D174" i="9"/>
  <c r="C177" i="9"/>
  <c r="C176" i="9"/>
  <c r="C175" i="9"/>
  <c r="C174" i="9"/>
  <c r="B177" i="9"/>
  <c r="B176" i="9"/>
  <c r="B175" i="9"/>
  <c r="B174" i="9"/>
  <c r="G173" i="9"/>
  <c r="G172" i="9"/>
  <c r="G171" i="9"/>
  <c r="G170" i="9"/>
  <c r="F173" i="9"/>
  <c r="F172" i="9"/>
  <c r="F171" i="9"/>
  <c r="F170" i="9"/>
  <c r="E173" i="9"/>
  <c r="E172" i="9"/>
  <c r="E171" i="9"/>
  <c r="E170" i="9"/>
  <c r="D173" i="9"/>
  <c r="D172" i="9"/>
  <c r="D171" i="9"/>
  <c r="D170" i="9"/>
  <c r="C173" i="9"/>
  <c r="C172" i="9"/>
  <c r="C171" i="9"/>
  <c r="C170" i="9"/>
  <c r="B173" i="9"/>
  <c r="B172" i="9"/>
  <c r="B171" i="9"/>
  <c r="B170" i="9"/>
  <c r="F169" i="9"/>
  <c r="F168" i="9"/>
  <c r="F167" i="9"/>
  <c r="F166" i="9"/>
  <c r="E169" i="9"/>
  <c r="E168" i="9"/>
  <c r="E167" i="9"/>
  <c r="E166" i="9"/>
  <c r="D169" i="9"/>
  <c r="D168" i="9"/>
  <c r="D167" i="9"/>
  <c r="D166" i="9"/>
  <c r="C169" i="9"/>
  <c r="C168" i="9"/>
  <c r="C167" i="9"/>
  <c r="C166" i="9"/>
  <c r="G169" i="9"/>
  <c r="G168" i="9"/>
  <c r="G167" i="9"/>
  <c r="G166" i="9"/>
  <c r="B169" i="9"/>
  <c r="B168" i="9"/>
  <c r="B167" i="9"/>
  <c r="B166" i="9"/>
  <c r="G165" i="9"/>
  <c r="G164" i="9"/>
  <c r="G162" i="9"/>
  <c r="G163" i="9"/>
  <c r="F165" i="9"/>
  <c r="F164" i="9"/>
  <c r="F163" i="9"/>
  <c r="F162" i="9"/>
  <c r="E165" i="9"/>
  <c r="E164" i="9"/>
  <c r="E163" i="9"/>
  <c r="E162" i="9"/>
  <c r="D165" i="9"/>
  <c r="D164" i="9"/>
  <c r="D163" i="9"/>
  <c r="D162" i="9"/>
  <c r="C165" i="9"/>
  <c r="C164" i="9"/>
  <c r="C163" i="9"/>
  <c r="C162" i="9"/>
  <c r="B165" i="9"/>
  <c r="B164" i="9"/>
  <c r="B163" i="9"/>
  <c r="B162" i="9"/>
  <c r="G161" i="9"/>
  <c r="G160" i="9"/>
  <c r="G159" i="9"/>
  <c r="G158" i="9"/>
  <c r="F161" i="9"/>
  <c r="F160" i="9"/>
  <c r="F159" i="9"/>
  <c r="F158" i="9"/>
  <c r="E161" i="9"/>
  <c r="E160" i="9"/>
  <c r="E159" i="9"/>
  <c r="E158" i="9"/>
  <c r="D161" i="9"/>
  <c r="D160" i="9"/>
  <c r="D159" i="9"/>
  <c r="D158" i="9"/>
  <c r="C161" i="9"/>
  <c r="C160" i="9"/>
  <c r="C159" i="9"/>
  <c r="C158" i="9"/>
  <c r="B161" i="9"/>
  <c r="B160" i="9"/>
  <c r="B159" i="9"/>
  <c r="B158" i="9"/>
  <c r="G157" i="9"/>
  <c r="G156" i="9"/>
  <c r="G155" i="9"/>
  <c r="G154" i="9"/>
  <c r="F157" i="9"/>
  <c r="F156" i="9"/>
  <c r="F155" i="9"/>
  <c r="F154" i="9"/>
  <c r="E157" i="9"/>
  <c r="E156" i="9"/>
  <c r="E155" i="9"/>
  <c r="E154" i="9"/>
  <c r="D157" i="9"/>
  <c r="D156" i="9"/>
  <c r="D155" i="9"/>
  <c r="D154" i="9"/>
  <c r="C157" i="9"/>
  <c r="C156" i="9"/>
  <c r="C155" i="9"/>
  <c r="C154" i="9"/>
  <c r="B157" i="9"/>
  <c r="B156" i="9"/>
  <c r="B155" i="9"/>
  <c r="B154" i="9"/>
  <c r="G153" i="9"/>
  <c r="G152" i="9"/>
  <c r="G151" i="9"/>
  <c r="G150" i="9"/>
  <c r="F153" i="9"/>
  <c r="F152" i="9"/>
  <c r="F151" i="9"/>
  <c r="F150" i="9"/>
  <c r="E153" i="9"/>
  <c r="E152" i="9"/>
  <c r="E151" i="9"/>
  <c r="E150" i="9"/>
  <c r="D153" i="9"/>
  <c r="D152" i="9"/>
  <c r="D151" i="9"/>
  <c r="D150" i="9"/>
  <c r="C153" i="9"/>
  <c r="C152" i="9"/>
  <c r="C151" i="9"/>
  <c r="C150" i="9"/>
  <c r="B153" i="9"/>
  <c r="B152" i="9"/>
  <c r="B151" i="9"/>
  <c r="B150" i="9"/>
  <c r="G149" i="9"/>
  <c r="G148" i="9"/>
  <c r="G147" i="9"/>
  <c r="G146" i="9"/>
  <c r="F149" i="9"/>
  <c r="F148" i="9"/>
  <c r="F147" i="9"/>
  <c r="F146" i="9"/>
  <c r="E149" i="9"/>
  <c r="E148" i="9"/>
  <c r="E147" i="9"/>
  <c r="E146" i="9"/>
  <c r="D149" i="9"/>
  <c r="D148" i="9"/>
  <c r="D147" i="9"/>
  <c r="D146" i="9"/>
  <c r="C149" i="9"/>
  <c r="C148" i="9"/>
  <c r="C147" i="9"/>
  <c r="C146" i="9"/>
  <c r="L47" i="1"/>
  <c r="B149" i="9"/>
  <c r="B148" i="9"/>
  <c r="B147" i="9"/>
  <c r="B146" i="9"/>
  <c r="G145" i="9"/>
  <c r="G144" i="9"/>
  <c r="G143" i="9"/>
  <c r="G142" i="9"/>
  <c r="F145" i="9"/>
  <c r="F144" i="9"/>
  <c r="F143" i="9"/>
  <c r="F142" i="9"/>
  <c r="E145" i="9"/>
  <c r="E144" i="9"/>
  <c r="E143" i="9"/>
  <c r="E142" i="9"/>
  <c r="D145" i="9"/>
  <c r="D144" i="9"/>
  <c r="D143" i="9"/>
  <c r="D142" i="9"/>
  <c r="C145" i="9"/>
  <c r="C144" i="9"/>
  <c r="C143" i="9"/>
  <c r="C142" i="9"/>
  <c r="B145" i="9"/>
  <c r="B144" i="9"/>
  <c r="B143" i="9"/>
  <c r="B142" i="9"/>
  <c r="G141" i="9"/>
  <c r="G140" i="9"/>
  <c r="G139" i="9"/>
  <c r="G138" i="9"/>
  <c r="F141" i="9"/>
  <c r="F140" i="9"/>
  <c r="F139" i="9"/>
  <c r="F138" i="9"/>
  <c r="E141" i="9"/>
  <c r="E140" i="9"/>
  <c r="E139" i="9"/>
  <c r="E138" i="9"/>
  <c r="D141" i="9"/>
  <c r="D140" i="9"/>
  <c r="D139" i="9"/>
  <c r="D138" i="9"/>
  <c r="C141" i="9"/>
  <c r="C140" i="9"/>
  <c r="C139" i="9"/>
  <c r="C138" i="9"/>
  <c r="B141" i="9"/>
  <c r="B140" i="9"/>
  <c r="B139" i="9"/>
  <c r="B138" i="9"/>
  <c r="G137" i="9"/>
  <c r="G136" i="9"/>
  <c r="G135" i="9"/>
  <c r="G134" i="9"/>
  <c r="F137" i="9"/>
  <c r="F136" i="9"/>
  <c r="F135" i="9"/>
  <c r="F134" i="9"/>
  <c r="E137" i="9"/>
  <c r="E136" i="9"/>
  <c r="E135" i="9"/>
  <c r="E134" i="9"/>
  <c r="D137" i="9"/>
  <c r="D136" i="9"/>
  <c r="D135" i="9"/>
  <c r="D134" i="9"/>
  <c r="C137" i="9"/>
  <c r="C136" i="9"/>
  <c r="C135" i="9"/>
  <c r="C134" i="9"/>
  <c r="B137" i="9"/>
  <c r="B136" i="9"/>
  <c r="B135" i="9"/>
  <c r="B134" i="9"/>
  <c r="G133" i="9"/>
  <c r="G132" i="9"/>
  <c r="G131" i="9"/>
  <c r="G130" i="9"/>
  <c r="F133" i="9"/>
  <c r="F132" i="9"/>
  <c r="F131" i="9"/>
  <c r="F130" i="9"/>
  <c r="E133" i="9"/>
  <c r="E132" i="9"/>
  <c r="E131" i="9"/>
  <c r="E130" i="9"/>
  <c r="D133" i="9"/>
  <c r="D132" i="9"/>
  <c r="D131" i="9"/>
  <c r="D130" i="9"/>
  <c r="C133" i="9"/>
  <c r="C132" i="9"/>
  <c r="C131" i="9"/>
  <c r="C130" i="9"/>
  <c r="B133" i="9"/>
  <c r="B132" i="9"/>
  <c r="B131" i="9"/>
  <c r="B130" i="9"/>
  <c r="G129" i="9"/>
  <c r="G128" i="9"/>
  <c r="G127" i="9"/>
  <c r="G126" i="9"/>
  <c r="F129" i="9"/>
  <c r="F128" i="9"/>
  <c r="F127" i="9"/>
  <c r="F126" i="9"/>
  <c r="E129" i="9"/>
  <c r="E128" i="9"/>
  <c r="E127" i="9"/>
  <c r="E126" i="9"/>
  <c r="D129" i="9"/>
  <c r="D128" i="9"/>
  <c r="D127" i="9"/>
  <c r="D126" i="9"/>
  <c r="C129" i="9"/>
  <c r="C128" i="9"/>
  <c r="C127" i="9"/>
  <c r="C126" i="9"/>
  <c r="B129" i="9"/>
  <c r="B128" i="9"/>
  <c r="B127" i="9"/>
  <c r="B126" i="9"/>
  <c r="G125" i="9"/>
  <c r="G124" i="9"/>
  <c r="G123" i="9"/>
  <c r="G122" i="9"/>
  <c r="F125" i="9"/>
  <c r="F124" i="9"/>
  <c r="F123" i="9"/>
  <c r="F122" i="9"/>
  <c r="E125" i="9"/>
  <c r="E124" i="9"/>
  <c r="E123" i="9"/>
  <c r="E122" i="9"/>
  <c r="D125" i="9"/>
  <c r="D124" i="9"/>
  <c r="D123" i="9"/>
  <c r="D122" i="9"/>
  <c r="C125" i="9"/>
  <c r="C124" i="9"/>
  <c r="C123" i="9"/>
  <c r="C122" i="9"/>
  <c r="B125" i="9"/>
  <c r="B124" i="9"/>
  <c r="B123" i="9"/>
  <c r="B122" i="9"/>
  <c r="G121" i="9"/>
  <c r="G120" i="9"/>
  <c r="G119" i="9"/>
  <c r="G118" i="9"/>
  <c r="F121" i="9"/>
  <c r="F120" i="9"/>
  <c r="F119" i="9"/>
  <c r="F118" i="9"/>
  <c r="E121" i="9"/>
  <c r="E120" i="9"/>
  <c r="E119" i="9"/>
  <c r="E118" i="9"/>
  <c r="D121" i="9"/>
  <c r="D120" i="9"/>
  <c r="D119" i="9"/>
  <c r="D118" i="9"/>
  <c r="C121" i="9"/>
  <c r="C120" i="9"/>
  <c r="C119" i="9"/>
  <c r="C118" i="9"/>
  <c r="B121" i="9"/>
  <c r="B120" i="9"/>
  <c r="B119" i="9"/>
  <c r="B118" i="9"/>
  <c r="G117" i="9"/>
  <c r="G116" i="9"/>
  <c r="G115" i="9"/>
  <c r="G114" i="9"/>
  <c r="F117" i="9"/>
  <c r="F116" i="9"/>
  <c r="F115" i="9"/>
  <c r="F114" i="9"/>
  <c r="E117" i="9"/>
  <c r="E116" i="9"/>
  <c r="E115" i="9"/>
  <c r="E114" i="9"/>
  <c r="D117" i="9"/>
  <c r="D116" i="9"/>
  <c r="D115" i="9"/>
  <c r="D114" i="9"/>
  <c r="C117" i="9"/>
  <c r="C116" i="9"/>
  <c r="C115" i="9"/>
  <c r="C114" i="9"/>
  <c r="B117" i="9"/>
  <c r="B116" i="9"/>
  <c r="B115" i="9"/>
  <c r="B114" i="9"/>
  <c r="G113" i="9"/>
  <c r="G112" i="9"/>
  <c r="G111" i="9"/>
  <c r="G110" i="9"/>
  <c r="F113" i="9"/>
  <c r="F112" i="9"/>
  <c r="F111" i="9"/>
  <c r="F110" i="9"/>
  <c r="E113" i="9"/>
  <c r="E112" i="9"/>
  <c r="E111" i="9"/>
  <c r="E110" i="9"/>
  <c r="D113" i="9"/>
  <c r="D112" i="9"/>
  <c r="D111" i="9"/>
  <c r="D110" i="9"/>
  <c r="C113" i="9"/>
  <c r="C112" i="9"/>
  <c r="C111" i="9"/>
  <c r="C110" i="9"/>
  <c r="B113" i="9"/>
  <c r="B112" i="9"/>
  <c r="B111" i="9"/>
  <c r="B110" i="9"/>
  <c r="G109" i="9"/>
  <c r="G108" i="9"/>
  <c r="G107" i="9"/>
  <c r="G106" i="9"/>
  <c r="F109" i="9"/>
  <c r="F108" i="9"/>
  <c r="F107" i="9"/>
  <c r="F106" i="9"/>
  <c r="E109" i="9"/>
  <c r="E108" i="9"/>
  <c r="E107" i="9"/>
  <c r="E106" i="9"/>
  <c r="D109" i="9"/>
  <c r="D108" i="9"/>
  <c r="D107" i="9"/>
  <c r="D106" i="9"/>
  <c r="C109" i="9"/>
  <c r="C108" i="9"/>
  <c r="C107" i="9"/>
  <c r="C106" i="9"/>
  <c r="B109" i="9"/>
  <c r="B108" i="9"/>
  <c r="B107" i="9"/>
  <c r="B106" i="9"/>
  <c r="G105" i="9"/>
  <c r="G104" i="9"/>
  <c r="G102" i="9"/>
  <c r="F105" i="9"/>
  <c r="F104" i="9"/>
  <c r="F103" i="9"/>
  <c r="F102" i="9"/>
  <c r="E105" i="9"/>
  <c r="E104" i="9"/>
  <c r="E103" i="9"/>
  <c r="E102" i="9"/>
  <c r="D105" i="9"/>
  <c r="D104" i="9"/>
  <c r="D103" i="9"/>
  <c r="D102" i="9"/>
  <c r="C105" i="9"/>
  <c r="C104" i="9"/>
  <c r="C103" i="9"/>
  <c r="C102" i="9"/>
  <c r="B105" i="9"/>
  <c r="B104" i="9"/>
  <c r="B103" i="9"/>
  <c r="B102" i="9"/>
  <c r="L36" i="1"/>
  <c r="G101" i="9"/>
  <c r="G100" i="9"/>
  <c r="G99" i="9"/>
  <c r="G98" i="9"/>
  <c r="F101" i="9"/>
  <c r="F100" i="9"/>
  <c r="F99" i="9"/>
  <c r="F98" i="9"/>
  <c r="E101" i="9"/>
  <c r="E100" i="9"/>
  <c r="E99" i="9"/>
  <c r="E98" i="9"/>
  <c r="D101" i="9"/>
  <c r="D100" i="9"/>
  <c r="D99" i="9"/>
  <c r="D98" i="9"/>
  <c r="C101" i="9"/>
  <c r="C100" i="9"/>
  <c r="C99" i="9"/>
  <c r="C98" i="9"/>
  <c r="B101" i="9"/>
  <c r="B100" i="9"/>
  <c r="B99" i="9"/>
  <c r="B98" i="9"/>
  <c r="G97" i="9"/>
  <c r="G96" i="9"/>
  <c r="G95" i="9"/>
  <c r="G94" i="9"/>
  <c r="F97" i="9"/>
  <c r="F96" i="9"/>
  <c r="F95" i="9"/>
  <c r="F94" i="9"/>
  <c r="E97" i="9"/>
  <c r="E96" i="9"/>
  <c r="E95" i="9"/>
  <c r="E94" i="9"/>
  <c r="D97" i="9"/>
  <c r="D96" i="9"/>
  <c r="D95" i="9"/>
  <c r="D94" i="9"/>
  <c r="C97" i="9"/>
  <c r="C96" i="9"/>
  <c r="C95" i="9"/>
  <c r="C94" i="9"/>
  <c r="B97" i="9"/>
  <c r="B96" i="9"/>
  <c r="B95" i="9"/>
  <c r="B94" i="9"/>
  <c r="G93" i="9"/>
  <c r="G92" i="9"/>
  <c r="G91" i="9"/>
  <c r="G90" i="9"/>
  <c r="F93" i="9"/>
  <c r="F92" i="9"/>
  <c r="F91" i="9"/>
  <c r="F90" i="9"/>
  <c r="E93" i="9"/>
  <c r="E92" i="9"/>
  <c r="E91" i="9"/>
  <c r="E90" i="9"/>
  <c r="D93" i="9"/>
  <c r="D92" i="9"/>
  <c r="D91" i="9"/>
  <c r="D90" i="9"/>
  <c r="C93" i="9"/>
  <c r="C92" i="9"/>
  <c r="C91" i="9"/>
  <c r="C90" i="9"/>
  <c r="B93" i="9"/>
  <c r="B92" i="9"/>
  <c r="B91" i="9"/>
  <c r="B90" i="9"/>
  <c r="G89" i="9"/>
  <c r="G88" i="9"/>
  <c r="G87" i="9"/>
  <c r="G86" i="9"/>
  <c r="F89" i="9"/>
  <c r="F88" i="9"/>
  <c r="F87" i="9"/>
  <c r="F86" i="9"/>
  <c r="E89" i="9"/>
  <c r="E88" i="9"/>
  <c r="E87" i="9"/>
  <c r="E86" i="9"/>
  <c r="D89" i="9"/>
  <c r="D88" i="9"/>
  <c r="D87" i="9"/>
  <c r="D86" i="9"/>
  <c r="C89" i="9"/>
  <c r="C88" i="9"/>
  <c r="C87" i="9"/>
  <c r="C86" i="9"/>
  <c r="B89" i="9"/>
  <c r="B88" i="9"/>
  <c r="B87" i="9"/>
  <c r="B86" i="9"/>
  <c r="G85" i="9"/>
  <c r="G84" i="9"/>
  <c r="G83" i="9"/>
  <c r="G82" i="9"/>
  <c r="F85" i="9"/>
  <c r="F84" i="9"/>
  <c r="F83" i="9"/>
  <c r="F82" i="9"/>
  <c r="E85" i="9"/>
  <c r="E84" i="9"/>
  <c r="E83" i="9"/>
  <c r="E82" i="9"/>
  <c r="D85" i="9"/>
  <c r="D84" i="9"/>
  <c r="D83" i="9"/>
  <c r="D82" i="9"/>
  <c r="C85" i="9"/>
  <c r="C84" i="9"/>
  <c r="C83" i="9"/>
  <c r="C82" i="9"/>
  <c r="B85" i="9"/>
  <c r="B84" i="9"/>
  <c r="B83" i="9"/>
  <c r="B82" i="9"/>
  <c r="G81" i="9"/>
  <c r="G80" i="9"/>
  <c r="G79" i="9"/>
  <c r="G78" i="9"/>
  <c r="F81" i="9"/>
  <c r="F80" i="9"/>
  <c r="F79" i="9"/>
  <c r="F78" i="9"/>
  <c r="E81" i="9"/>
  <c r="E80" i="9"/>
  <c r="E79" i="9"/>
  <c r="E78" i="9"/>
  <c r="D81" i="9"/>
  <c r="D80" i="9"/>
  <c r="D79" i="9"/>
  <c r="D78" i="9"/>
  <c r="C81" i="9"/>
  <c r="C80" i="9"/>
  <c r="C79" i="9"/>
  <c r="C78" i="9"/>
  <c r="B81" i="9"/>
  <c r="B80" i="9"/>
  <c r="B79" i="9"/>
  <c r="B78" i="9"/>
  <c r="K26" i="2"/>
  <c r="G77" i="9" s="1"/>
  <c r="G76" i="9"/>
  <c r="G75" i="9"/>
  <c r="G74" i="9"/>
  <c r="F77" i="9"/>
  <c r="F76" i="9"/>
  <c r="F75" i="9"/>
  <c r="F74" i="9"/>
  <c r="E77" i="9" l="1"/>
  <c r="E76" i="9"/>
  <c r="E75" i="9"/>
  <c r="E74" i="9"/>
  <c r="D77" i="9"/>
  <c r="D76" i="9"/>
  <c r="D75" i="9"/>
  <c r="D74" i="9"/>
  <c r="C77" i="9"/>
  <c r="C76" i="9"/>
  <c r="C75" i="9"/>
  <c r="C74" i="9"/>
  <c r="B77" i="9"/>
  <c r="B76" i="9"/>
  <c r="B75" i="9"/>
  <c r="B74" i="9"/>
  <c r="G73" i="9"/>
  <c r="G72" i="9"/>
  <c r="G71" i="9"/>
  <c r="G70" i="9"/>
  <c r="F73" i="9"/>
  <c r="F72" i="9"/>
  <c r="F71" i="9"/>
  <c r="F70" i="9"/>
  <c r="E73" i="9"/>
  <c r="E72" i="9"/>
  <c r="E71" i="9"/>
  <c r="E70" i="9"/>
  <c r="D73" i="9"/>
  <c r="D72" i="9"/>
  <c r="D71" i="9"/>
  <c r="D70" i="9"/>
  <c r="C73" i="9"/>
  <c r="C72" i="9"/>
  <c r="C71" i="9"/>
  <c r="C70" i="9"/>
  <c r="B73" i="9"/>
  <c r="B72" i="9"/>
  <c r="B71" i="9"/>
  <c r="B70" i="9"/>
  <c r="G69" i="9"/>
  <c r="G68" i="9"/>
  <c r="G67" i="9"/>
  <c r="G66" i="9"/>
  <c r="F69" i="9"/>
  <c r="F68" i="9"/>
  <c r="F67" i="9"/>
  <c r="F66" i="9"/>
  <c r="E69" i="9"/>
  <c r="E68" i="9"/>
  <c r="E67" i="9"/>
  <c r="E66" i="9"/>
  <c r="D69" i="9"/>
  <c r="D68" i="9"/>
  <c r="D67" i="9"/>
  <c r="D66" i="9"/>
  <c r="C69" i="9"/>
  <c r="C68" i="9"/>
  <c r="C67" i="9"/>
  <c r="C66" i="9"/>
  <c r="B69" i="9"/>
  <c r="B68" i="9"/>
  <c r="B67" i="9"/>
  <c r="B66" i="9"/>
  <c r="G65" i="9"/>
  <c r="G64" i="9"/>
  <c r="G63" i="9"/>
  <c r="G62" i="9"/>
  <c r="F62" i="9"/>
  <c r="F65" i="9"/>
  <c r="F64" i="9"/>
  <c r="F63" i="9"/>
  <c r="E65" i="9"/>
  <c r="E64" i="9"/>
  <c r="E63" i="9"/>
  <c r="E62" i="9"/>
  <c r="D65" i="9"/>
  <c r="D64" i="9"/>
  <c r="D63" i="9"/>
  <c r="D62" i="9"/>
  <c r="C65" i="9"/>
  <c r="C64" i="9"/>
  <c r="C63" i="9"/>
  <c r="C62" i="9"/>
  <c r="B65" i="9"/>
  <c r="B64" i="9"/>
  <c r="B63" i="9"/>
  <c r="B62" i="9"/>
  <c r="G61" i="9"/>
  <c r="G60" i="9"/>
  <c r="G59" i="9"/>
  <c r="G58" i="9"/>
  <c r="F61" i="9"/>
  <c r="F60" i="9"/>
  <c r="F59" i="9"/>
  <c r="F58" i="9"/>
  <c r="E61" i="9"/>
  <c r="E60" i="9"/>
  <c r="E59" i="9"/>
  <c r="E58" i="9"/>
  <c r="D61" i="9"/>
  <c r="D60" i="9"/>
  <c r="D59" i="9"/>
  <c r="D58" i="9"/>
  <c r="C61" i="9"/>
  <c r="C60" i="9"/>
  <c r="C59" i="9"/>
  <c r="C58" i="9"/>
  <c r="B61" i="9"/>
  <c r="B60" i="9"/>
  <c r="B59" i="9"/>
  <c r="B58" i="9"/>
  <c r="G57" i="9"/>
  <c r="G56" i="9"/>
  <c r="G55" i="9"/>
  <c r="G54" i="9"/>
  <c r="F57" i="9"/>
  <c r="F56" i="9"/>
  <c r="F55" i="9"/>
  <c r="F54" i="9"/>
  <c r="E57" i="9"/>
  <c r="E56" i="9"/>
  <c r="E55" i="9"/>
  <c r="E54" i="9"/>
  <c r="D57" i="9"/>
  <c r="D56" i="9"/>
  <c r="D55" i="9"/>
  <c r="D54" i="9"/>
  <c r="C57" i="9"/>
  <c r="C56" i="9"/>
  <c r="C55" i="9"/>
  <c r="C54" i="9"/>
  <c r="B57" i="9"/>
  <c r="B56" i="9"/>
  <c r="B55" i="9"/>
  <c r="B54" i="9"/>
  <c r="F53" i="9"/>
  <c r="F52" i="9"/>
  <c r="F51" i="9"/>
  <c r="F50" i="9"/>
  <c r="E53" i="9"/>
  <c r="E52" i="9"/>
  <c r="E51" i="9"/>
  <c r="E50" i="9"/>
  <c r="D53" i="9"/>
  <c r="D52" i="9"/>
  <c r="D51" i="9"/>
  <c r="D50" i="9"/>
  <c r="C53" i="9"/>
  <c r="C52" i="9"/>
  <c r="C51" i="9"/>
  <c r="C50" i="9"/>
  <c r="B53" i="9"/>
  <c r="B52" i="9"/>
  <c r="B51" i="9"/>
  <c r="B50" i="9"/>
  <c r="F49" i="9"/>
  <c r="F48" i="9"/>
  <c r="F47" i="9"/>
  <c r="F46" i="9"/>
  <c r="E49" i="9"/>
  <c r="E48" i="9"/>
  <c r="E47" i="9"/>
  <c r="E46" i="9"/>
  <c r="D49" i="9"/>
  <c r="D48" i="9"/>
  <c r="D47" i="9"/>
  <c r="D46" i="9"/>
  <c r="C49" i="9"/>
  <c r="C48" i="9"/>
  <c r="C47" i="9"/>
  <c r="C46" i="9"/>
  <c r="B49" i="9"/>
  <c r="B48" i="9"/>
  <c r="B47" i="9"/>
  <c r="B46" i="9"/>
  <c r="F45" i="9"/>
  <c r="F44" i="9"/>
  <c r="F43" i="9"/>
  <c r="F42" i="9"/>
  <c r="E45" i="9"/>
  <c r="E44" i="9"/>
  <c r="E43" i="9"/>
  <c r="E42" i="9"/>
  <c r="D45" i="9"/>
  <c r="D44" i="9"/>
  <c r="D43" i="9"/>
  <c r="D42" i="9"/>
  <c r="C45" i="9"/>
  <c r="C44" i="9"/>
  <c r="C43" i="9"/>
  <c r="C42" i="9"/>
  <c r="B45" i="9"/>
  <c r="B44" i="9"/>
  <c r="B43" i="9"/>
  <c r="B42" i="9"/>
  <c r="F41" i="9"/>
  <c r="F40" i="9"/>
  <c r="F39" i="9"/>
  <c r="F38" i="9"/>
  <c r="E41" i="9"/>
  <c r="E40" i="9"/>
  <c r="E39" i="9"/>
  <c r="E38" i="9"/>
  <c r="D41" i="9"/>
  <c r="D40" i="9"/>
  <c r="D39" i="9"/>
  <c r="D38" i="9"/>
  <c r="C41" i="9"/>
  <c r="C40" i="9"/>
  <c r="C39" i="9"/>
  <c r="C38" i="9"/>
  <c r="B41" i="9"/>
  <c r="B40" i="9"/>
  <c r="B39" i="9"/>
  <c r="B38" i="9"/>
  <c r="F37" i="9"/>
  <c r="F36" i="9"/>
  <c r="F35" i="9"/>
  <c r="F34" i="9"/>
  <c r="E37" i="9"/>
  <c r="E36" i="9"/>
  <c r="E35" i="9"/>
  <c r="E34" i="9"/>
  <c r="D37" i="9"/>
  <c r="D36" i="9"/>
  <c r="D35" i="9"/>
  <c r="D34" i="9"/>
  <c r="C37" i="9"/>
  <c r="C36" i="9"/>
  <c r="C35" i="9"/>
  <c r="C34" i="9"/>
  <c r="B37" i="9"/>
  <c r="B36" i="9"/>
  <c r="B35" i="9"/>
  <c r="B34" i="9"/>
  <c r="F33" i="9"/>
  <c r="F32" i="9"/>
  <c r="F31" i="9"/>
  <c r="F30" i="9"/>
  <c r="E33" i="9"/>
  <c r="E32" i="9"/>
  <c r="E31" i="9"/>
  <c r="E30" i="9"/>
  <c r="D33" i="9"/>
  <c r="D32" i="9"/>
  <c r="D31" i="9"/>
  <c r="D30" i="9"/>
  <c r="C33" i="9"/>
  <c r="C32" i="9"/>
  <c r="C31" i="9"/>
  <c r="C30" i="9"/>
  <c r="B33" i="9"/>
  <c r="B32" i="9"/>
  <c r="B31" i="9"/>
  <c r="J18" i="1"/>
  <c r="B30" i="9"/>
  <c r="F29" i="9"/>
  <c r="F28" i="9"/>
  <c r="F27" i="9"/>
  <c r="F26" i="9"/>
  <c r="E29" i="9"/>
  <c r="E28" i="9"/>
  <c r="E27" i="9"/>
  <c r="E26" i="9"/>
  <c r="D29" i="9"/>
  <c r="D28" i="9"/>
  <c r="D27" i="9"/>
  <c r="D26" i="9"/>
  <c r="C29" i="9"/>
  <c r="C28" i="9"/>
  <c r="C27" i="9"/>
  <c r="C26" i="9"/>
  <c r="B29" i="9"/>
  <c r="B28" i="9"/>
  <c r="B27" i="9"/>
  <c r="B26" i="9"/>
  <c r="F25" i="9"/>
  <c r="F24" i="9"/>
  <c r="F23" i="9"/>
  <c r="F22" i="9"/>
  <c r="E25" i="9"/>
  <c r="E24" i="9"/>
  <c r="E23" i="9"/>
  <c r="E22" i="9"/>
  <c r="D25" i="9"/>
  <c r="D24" i="9"/>
  <c r="D23" i="9"/>
  <c r="D22" i="9"/>
  <c r="C25" i="9"/>
  <c r="C24" i="9"/>
  <c r="C23" i="9"/>
  <c r="C22" i="9"/>
  <c r="F21" i="9"/>
  <c r="F20" i="9"/>
  <c r="F19" i="9"/>
  <c r="F18" i="9"/>
  <c r="E21" i="9"/>
  <c r="E20" i="9"/>
  <c r="E19" i="9"/>
  <c r="E18" i="9"/>
  <c r="D21" i="9"/>
  <c r="D20" i="9"/>
  <c r="D19" i="9"/>
  <c r="D18" i="9"/>
  <c r="C21" i="9"/>
  <c r="C20" i="9"/>
  <c r="C19" i="9"/>
  <c r="C18" i="9"/>
  <c r="F17" i="9"/>
  <c r="F16" i="9"/>
  <c r="F15" i="9"/>
  <c r="F14" i="9"/>
  <c r="E17" i="9"/>
  <c r="E16" i="9"/>
  <c r="E15" i="9"/>
  <c r="E14" i="9"/>
  <c r="D17" i="9"/>
  <c r="D16" i="9"/>
  <c r="D15" i="9"/>
  <c r="D14" i="9"/>
  <c r="C17" i="9"/>
  <c r="C16" i="9"/>
  <c r="C15" i="9"/>
  <c r="C14" i="9"/>
  <c r="F13" i="9"/>
  <c r="F12" i="9"/>
  <c r="F11" i="9"/>
  <c r="F10" i="9"/>
  <c r="E13" i="9"/>
  <c r="E12" i="9"/>
  <c r="E11" i="9"/>
  <c r="E10" i="9"/>
  <c r="D13" i="9"/>
  <c r="D12" i="9"/>
  <c r="D11" i="9"/>
  <c r="D10" i="9"/>
  <c r="C13" i="9"/>
  <c r="C12" i="9"/>
  <c r="C11" i="9"/>
  <c r="C10" i="9"/>
  <c r="F9" i="9"/>
  <c r="F8" i="9"/>
  <c r="F7" i="9"/>
  <c r="F6" i="9"/>
  <c r="E9" i="9"/>
  <c r="E8" i="9"/>
  <c r="E7" i="9"/>
  <c r="E6" i="9"/>
  <c r="D9" i="9"/>
  <c r="D8" i="9"/>
  <c r="D7" i="9"/>
  <c r="D6" i="9"/>
  <c r="C9" i="9"/>
  <c r="C8" i="9"/>
  <c r="C7" i="9"/>
  <c r="C6" i="9"/>
  <c r="H6" i="2"/>
  <c r="G6" i="9" s="1"/>
  <c r="I6" i="2"/>
  <c r="G7" i="9" s="1"/>
  <c r="J6" i="2"/>
  <c r="G8" i="9" s="1"/>
  <c r="K6" i="2"/>
  <c r="G9" i="9" s="1"/>
  <c r="H7" i="2"/>
  <c r="G10" i="9" s="1"/>
  <c r="I7" i="2"/>
  <c r="G11" i="9" s="1"/>
  <c r="J7" i="2"/>
  <c r="G12" i="9" s="1"/>
  <c r="K7" i="2"/>
  <c r="G13" i="9" s="1"/>
  <c r="H8" i="2"/>
  <c r="G14" i="9" s="1"/>
  <c r="I8" i="2"/>
  <c r="G15" i="9" s="1"/>
  <c r="J8" i="2"/>
  <c r="G16" i="9" s="1"/>
  <c r="K8" i="2"/>
  <c r="G17" i="9" s="1"/>
  <c r="H9" i="2"/>
  <c r="G18" i="9" s="1"/>
  <c r="I9" i="2"/>
  <c r="G19" i="9" s="1"/>
  <c r="J9" i="2"/>
  <c r="G20" i="9" s="1"/>
  <c r="K9" i="2"/>
  <c r="G21" i="9" s="1"/>
  <c r="H10" i="2"/>
  <c r="G22" i="9" s="1"/>
  <c r="I10" i="2"/>
  <c r="G23" i="9" s="1"/>
  <c r="J10" i="2"/>
  <c r="G24" i="9" s="1"/>
  <c r="K10" i="2"/>
  <c r="G25" i="9" s="1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G26" i="9" s="1"/>
  <c r="I14" i="2"/>
  <c r="G27" i="9" s="1"/>
  <c r="J14" i="2"/>
  <c r="G28" i="9" s="1"/>
  <c r="K14" i="2"/>
  <c r="G29" i="9" s="1"/>
  <c r="H15" i="2"/>
  <c r="G30" i="9" s="1"/>
  <c r="I15" i="2"/>
  <c r="G31" i="9" s="1"/>
  <c r="J15" i="2"/>
  <c r="G32" i="9" s="1"/>
  <c r="K15" i="2"/>
  <c r="G33" i="9" s="1"/>
  <c r="H16" i="2"/>
  <c r="G34" i="9" s="1"/>
  <c r="I16" i="2"/>
  <c r="G35" i="9" s="1"/>
  <c r="J16" i="2"/>
  <c r="G36" i="9" s="1"/>
  <c r="K16" i="2"/>
  <c r="G37" i="9" s="1"/>
  <c r="H17" i="2"/>
  <c r="G38" i="9" s="1"/>
  <c r="I17" i="2"/>
  <c r="G39" i="9" s="1"/>
  <c r="J17" i="2"/>
  <c r="G40" i="9" s="1"/>
  <c r="K17" i="2"/>
  <c r="G41" i="9" s="1"/>
  <c r="H18" i="2"/>
  <c r="G42" i="9" s="1"/>
  <c r="I18" i="2"/>
  <c r="G43" i="9" s="1"/>
  <c r="J18" i="2"/>
  <c r="G44" i="9" s="1"/>
  <c r="K18" i="2"/>
  <c r="G45" i="9" s="1"/>
  <c r="H19" i="2"/>
  <c r="G46" i="9" s="1"/>
  <c r="I19" i="2"/>
  <c r="G47" i="9" s="1"/>
  <c r="J19" i="2"/>
  <c r="G48" i="9" s="1"/>
  <c r="K19" i="2"/>
  <c r="G49" i="9" s="1"/>
  <c r="H20" i="2"/>
  <c r="G50" i="9" s="1"/>
  <c r="I20" i="2"/>
  <c r="G51" i="9" s="1"/>
  <c r="J20" i="2"/>
  <c r="G52" i="9" s="1"/>
  <c r="K20" i="2"/>
  <c r="G53" i="9" s="1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G103" i="9" s="1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H62" i="2"/>
  <c r="I62" i="2"/>
  <c r="J62" i="2"/>
  <c r="K62" i="2"/>
  <c r="H63" i="2"/>
  <c r="I63" i="2"/>
  <c r="J63" i="2"/>
  <c r="K63" i="2"/>
  <c r="H64" i="2"/>
  <c r="I64" i="2"/>
  <c r="J64" i="2"/>
  <c r="K64" i="2"/>
  <c r="H65" i="2"/>
  <c r="I65" i="2"/>
  <c r="J65" i="2"/>
  <c r="K65" i="2"/>
  <c r="H66" i="2"/>
  <c r="I66" i="2"/>
  <c r="J66" i="2"/>
  <c r="K66" i="2"/>
  <c r="H67" i="2"/>
  <c r="I67" i="2"/>
  <c r="J67" i="2"/>
  <c r="K67" i="2"/>
  <c r="H68" i="2"/>
  <c r="I68" i="2"/>
  <c r="J68" i="2"/>
  <c r="K68" i="2"/>
  <c r="H69" i="2"/>
  <c r="I69" i="2"/>
  <c r="G243" i="9" s="1"/>
  <c r="J69" i="2"/>
  <c r="K69" i="2"/>
  <c r="G245" i="9" s="1"/>
  <c r="H70" i="2"/>
  <c r="I70" i="2"/>
  <c r="J70" i="2"/>
  <c r="K70" i="2"/>
  <c r="H71" i="2"/>
  <c r="I71" i="2"/>
  <c r="J71" i="2"/>
  <c r="K71" i="2"/>
  <c r="H72" i="2"/>
  <c r="I72" i="2"/>
  <c r="J72" i="2"/>
  <c r="K72" i="2"/>
  <c r="H73" i="2"/>
  <c r="I73" i="2"/>
  <c r="J73" i="2"/>
  <c r="G260" i="9" s="1"/>
  <c r="K73" i="2"/>
  <c r="G261" i="9" s="1"/>
  <c r="H74" i="2"/>
  <c r="I74" i="2"/>
  <c r="J74" i="2"/>
  <c r="K74" i="2"/>
  <c r="G265" i="9" s="1"/>
  <c r="H75" i="2"/>
  <c r="I75" i="2"/>
  <c r="J75" i="2"/>
  <c r="K75" i="2"/>
  <c r="H76" i="2"/>
  <c r="I76" i="2"/>
  <c r="J76" i="2"/>
  <c r="K76" i="2"/>
  <c r="H77" i="2"/>
  <c r="I77" i="2"/>
  <c r="J77" i="2"/>
  <c r="K77" i="2"/>
  <c r="H78" i="2"/>
  <c r="I78" i="2"/>
  <c r="J78" i="2"/>
  <c r="K78" i="2"/>
  <c r="I5" i="2"/>
  <c r="G3" i="9" s="1"/>
  <c r="J5" i="2"/>
  <c r="G4" i="9" s="1"/>
  <c r="K5" i="2"/>
  <c r="G5" i="9" s="1"/>
  <c r="H5" i="2"/>
  <c r="G2" i="9" s="1"/>
  <c r="F5" i="9"/>
  <c r="F4" i="9"/>
  <c r="F3" i="9"/>
  <c r="F2" i="9"/>
  <c r="E5" i="9"/>
  <c r="E4" i="9"/>
  <c r="E3" i="9"/>
  <c r="E2" i="9"/>
  <c r="D5" i="9"/>
  <c r="D4" i="9"/>
  <c r="D3" i="9"/>
  <c r="D2" i="9"/>
  <c r="C5" i="9"/>
  <c r="C4" i="9"/>
  <c r="C3" i="9"/>
  <c r="C2" i="9"/>
  <c r="L80" i="1"/>
  <c r="K80" i="1"/>
  <c r="J80" i="1"/>
  <c r="I80" i="1"/>
  <c r="L79" i="1"/>
  <c r="K79" i="1"/>
  <c r="J79" i="1"/>
  <c r="I79" i="1"/>
  <c r="L78" i="1"/>
  <c r="K78" i="1"/>
  <c r="J78" i="1"/>
  <c r="I78" i="1"/>
  <c r="L77" i="1"/>
  <c r="K77" i="1"/>
  <c r="J77" i="1"/>
  <c r="I77" i="1"/>
  <c r="L76" i="1"/>
  <c r="K76" i="1"/>
  <c r="J76" i="1"/>
  <c r="I76" i="1"/>
  <c r="L75" i="1"/>
  <c r="K75" i="1"/>
  <c r="J75" i="1"/>
  <c r="I75" i="1"/>
  <c r="L74" i="1"/>
  <c r="K74" i="1"/>
  <c r="J74" i="1"/>
  <c r="I74" i="1"/>
  <c r="L73" i="1"/>
  <c r="K73" i="1"/>
  <c r="J73" i="1"/>
  <c r="I73" i="1"/>
  <c r="L72" i="1"/>
  <c r="K72" i="1"/>
  <c r="J72" i="1"/>
  <c r="I72" i="1"/>
  <c r="L71" i="1"/>
  <c r="K71" i="1"/>
  <c r="J71" i="1"/>
  <c r="I71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I64" i="1"/>
  <c r="L64" i="1"/>
  <c r="K64" i="1"/>
  <c r="J64" i="1"/>
  <c r="L63" i="1"/>
  <c r="K63" i="1"/>
  <c r="J63" i="1"/>
  <c r="I63" i="1"/>
  <c r="L12" i="1"/>
  <c r="L62" i="1"/>
  <c r="K62" i="1"/>
  <c r="J62" i="1"/>
  <c r="I62" i="1"/>
  <c r="L61" i="1"/>
  <c r="K61" i="1"/>
  <c r="J61" i="1"/>
  <c r="I61" i="1"/>
  <c r="K60" i="1"/>
  <c r="L60" i="1"/>
  <c r="J60" i="1"/>
  <c r="I60" i="1"/>
  <c r="L59" i="1"/>
  <c r="K59" i="1"/>
  <c r="J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L50" i="1"/>
  <c r="K50" i="1"/>
  <c r="J50" i="1"/>
  <c r="I50" i="1"/>
  <c r="L49" i="1"/>
  <c r="K49" i="1"/>
  <c r="J49" i="1"/>
  <c r="I49" i="1"/>
  <c r="L48" i="1"/>
  <c r="K48" i="1"/>
  <c r="J48" i="1"/>
  <c r="I48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1" i="1"/>
  <c r="K41" i="1"/>
  <c r="J41" i="1"/>
  <c r="I41" i="1"/>
  <c r="L40" i="1"/>
  <c r="K40" i="1"/>
  <c r="J40" i="1"/>
  <c r="I40" i="1"/>
  <c r="L39" i="1"/>
  <c r="K39" i="1"/>
  <c r="J39" i="1"/>
  <c r="I39" i="1"/>
  <c r="L38" i="1" l="1"/>
  <c r="K38" i="1"/>
  <c r="J38" i="1"/>
  <c r="I38" i="1"/>
  <c r="L37" i="1"/>
  <c r="K37" i="1"/>
  <c r="J37" i="1"/>
  <c r="I37" i="1"/>
  <c r="K36" i="1"/>
  <c r="J36" i="1"/>
  <c r="I36" i="1"/>
  <c r="L35" i="1"/>
  <c r="K35" i="1"/>
  <c r="J35" i="1"/>
  <c r="I35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K12" i="1"/>
  <c r="J12" i="1"/>
  <c r="I12" i="1"/>
  <c r="L11" i="1"/>
  <c r="B25" i="9" s="1"/>
  <c r="K11" i="1"/>
  <c r="B24" i="9" s="1"/>
  <c r="J11" i="1"/>
  <c r="B23" i="9" s="1"/>
  <c r="I11" i="1"/>
  <c r="B22" i="9" s="1"/>
  <c r="L10" i="1"/>
  <c r="B21" i="9" s="1"/>
  <c r="K10" i="1"/>
  <c r="B20" i="9" s="1"/>
  <c r="J10" i="1"/>
  <c r="B19" i="9" s="1"/>
  <c r="I10" i="1"/>
  <c r="B18" i="9" s="1"/>
  <c r="L9" i="1"/>
  <c r="B17" i="9" s="1"/>
  <c r="K9" i="1"/>
  <c r="B16" i="9" s="1"/>
  <c r="J9" i="1"/>
  <c r="B15" i="9" s="1"/>
  <c r="I9" i="1"/>
  <c r="B14" i="9" s="1"/>
  <c r="L8" i="1"/>
  <c r="B13" i="9" s="1"/>
  <c r="K8" i="1"/>
  <c r="B12" i="9" s="1"/>
  <c r="J8" i="1"/>
  <c r="B11" i="9" s="1"/>
  <c r="I8" i="1"/>
  <c r="B10" i="9" s="1"/>
  <c r="L7" i="1"/>
  <c r="B9" i="9" s="1"/>
  <c r="K7" i="1"/>
  <c r="B8" i="9" s="1"/>
  <c r="J7" i="1"/>
  <c r="B7" i="9" s="1"/>
  <c r="I7" i="1"/>
  <c r="B6" i="9" s="1"/>
  <c r="L6" i="1"/>
  <c r="B5" i="9" s="1"/>
  <c r="K6" i="1"/>
  <c r="B4" i="9" s="1"/>
  <c r="J6" i="1"/>
  <c r="B3" i="9" s="1"/>
  <c r="I6" i="1"/>
  <c r="B2" i="9" s="1"/>
</calcChain>
</file>

<file path=xl/sharedStrings.xml><?xml version="1.0" encoding="utf-8"?>
<sst xmlns="http://schemas.openxmlformats.org/spreadsheetml/2006/main" count="7853" uniqueCount="4669">
  <si>
    <t>SRI REJEKI ISMAN TBK PT</t>
  </si>
  <si>
    <t>HANSON INTERNATIONAL TBK PT</t>
  </si>
  <si>
    <t>BUMI RESOURCES TBK PT</t>
  </si>
  <si>
    <t>DARMA HENWA PT TBK</t>
  </si>
  <si>
    <t>LIPPO KARAWACI TBK PT</t>
  </si>
  <si>
    <t>INDIKA ENERGY TBK PT</t>
  </si>
  <si>
    <t>BARITO PACIFIC TBK PT</t>
  </si>
  <si>
    <t>PP PERSERO TBK PT</t>
  </si>
  <si>
    <t>BUMI RESOURCES MINERALS TBK</t>
  </si>
  <si>
    <t>LIMAS INDONESIA MAKMUR TBK P</t>
  </si>
  <si>
    <t>MAS MURNI INDONESIA PT</t>
  </si>
  <si>
    <t>SENTUL CITY TBK PT</t>
  </si>
  <si>
    <t>DELTA DUNIA MAKMUR TBK PT</t>
  </si>
  <si>
    <t>ERAJAYA SWASEMBADA TBK PT</t>
  </si>
  <si>
    <t>PP PROPERTI TBK PT</t>
  </si>
  <si>
    <t>KMI WIRE AND CABLE TBK PT</t>
  </si>
  <si>
    <t>EXPLOITASI ENERGI INDONESIA</t>
  </si>
  <si>
    <t>EAGLE HIGH PLANTATIONS TBK P</t>
  </si>
  <si>
    <t>WASKITA BETON PRECAST TBK PT</t>
  </si>
  <si>
    <t>AGUNG SEMESTA SEJAHTERA TBK</t>
  </si>
  <si>
    <t>ASTRINDO NUSANTARA INFRASTRU</t>
  </si>
  <si>
    <t>SMR UTAMA TBK PT</t>
  </si>
  <si>
    <t>PAKUWON JATI TBK PT</t>
  </si>
  <si>
    <t>ACE HARDWARE INDONESIA</t>
  </si>
  <si>
    <t>EUREKA PRIMA JAKARTA TBK PT</t>
  </si>
  <si>
    <t>ADARO ENERGY TBK PT</t>
  </si>
  <si>
    <t>PURADELTA LESTARI TBK PT</t>
  </si>
  <si>
    <t>ANEKA TAMBANG TBK</t>
  </si>
  <si>
    <t>SAWIT SUMBERMAS SARANA TBK P</t>
  </si>
  <si>
    <t>MODERN INTERNASIONAL TBK PT</t>
  </si>
  <si>
    <t>ASTRA INTERNATIONAL TBK PT</t>
  </si>
  <si>
    <t>PERDANA GAPURAPRIMA TBK PT</t>
  </si>
  <si>
    <t>BUKIT ASAM TBK PT</t>
  </si>
  <si>
    <t>MITRA ADIPERKASA TBK PT</t>
  </si>
  <si>
    <t>INDAH KIAT PULP &amp; PAPER TBK</t>
  </si>
  <si>
    <t>CHANDRA ASRI PETROCHEMICAL</t>
  </si>
  <si>
    <t>VALE INDONESIA TBK</t>
  </si>
  <si>
    <t>HM SAMPOERNA TBK PT</t>
  </si>
  <si>
    <t>MNC LAND TBK PT</t>
  </si>
  <si>
    <t>BUANA ARTHA ANUGERAH TBK PT</t>
  </si>
  <si>
    <t>SURYA SEMESTA INTERNUSA PT</t>
  </si>
  <si>
    <t>WIJAYA KARYA PERSERO TBK PT</t>
  </si>
  <si>
    <t>BUMI SERPONG DAMAI PT</t>
  </si>
  <si>
    <t>MODERNLAND REALTY TBK PT</t>
  </si>
  <si>
    <t>KOBEXINDO TRACTORS TBK PT</t>
  </si>
  <si>
    <t>UNILEVER INDONESIA TBK PT</t>
  </si>
  <si>
    <t>RAMAYANA LESTARI SENTOSA TBK</t>
  </si>
  <si>
    <t>ANCORA INDONESIA RESOURCES T</t>
  </si>
  <si>
    <t>ADHI KARYA PERSERO TBK PT</t>
  </si>
  <si>
    <t>MITRA KELUARGA KARYASEHAT TB</t>
  </si>
  <si>
    <t>INTRACO PENTA TBK PT</t>
  </si>
  <si>
    <t>TIMAH TBK PT</t>
  </si>
  <si>
    <t>BUANA LINTAS LAUTAN TBK PT</t>
  </si>
  <si>
    <t>TOWER BERSAMA INFRASTRUCTURE</t>
  </si>
  <si>
    <t>SOECHI LINES TBK PT</t>
  </si>
  <si>
    <t>SEMEN BATURAJA PERSERO TBK P</t>
  </si>
  <si>
    <t>BEKASI FAJAR INDUSTRIAL ESTA</t>
  </si>
  <si>
    <t>TUNAS BARU LAMPUNG TBK PT</t>
  </si>
  <si>
    <t>PP LONDON SUMATRA INDONES PT</t>
  </si>
  <si>
    <t>WASKITA KARYA PERSERO TBK PT</t>
  </si>
  <si>
    <t>TEMAS TBK PT</t>
  </si>
  <si>
    <t>PELAT TIMAH NUSANTARA TBK PT</t>
  </si>
  <si>
    <t>MULTIPOLAR TBK PT</t>
  </si>
  <si>
    <t>AGUNG PODOMORO LAND TBK PT</t>
  </si>
  <si>
    <t>GOZCO PLANTATIONS TBK PT</t>
  </si>
  <si>
    <t>POLYCHEM INDONESIA TBK PT</t>
  </si>
  <si>
    <t>AKR CORPORINDO TBK PT</t>
  </si>
  <si>
    <t>BINTANG OTO GLOBAL TBK PT</t>
  </si>
  <si>
    <t>PAN BROTHERS TBK PT</t>
  </si>
  <si>
    <t>SEMEN INDONESIA PERSERO TBK</t>
  </si>
  <si>
    <t>J RESOURCES ASIA PASIFIK TBK</t>
  </si>
  <si>
    <t>ALAM SUTERA REALTY TBK PT</t>
  </si>
  <si>
    <t>SAT NUSAPERSADA TBK PT</t>
  </si>
  <si>
    <t>KIMIA FARMA TBK PT</t>
  </si>
  <si>
    <t>MAYORA INDAH PT</t>
  </si>
  <si>
    <t>MATAHARI DEPARTMENT STORE TB</t>
  </si>
  <si>
    <t>GAJAH TUNGGAL TBK PT</t>
  </si>
  <si>
    <t>CIPUTRA DEVELOPMENT TBK PT</t>
  </si>
  <si>
    <t>KEDAUNG INDAH CAN TBK PT</t>
  </si>
  <si>
    <t>GARUDA INDONESIA PERSERO TBK</t>
  </si>
  <si>
    <t>JASA MARGA (PERSERO) TBK PT</t>
  </si>
  <si>
    <t>MATAHARI PUTRA PRIMA TBK PT</t>
  </si>
  <si>
    <t>KALBE FARMA TBK PT</t>
  </si>
  <si>
    <t>JAPFA COMFEED INDONES-TBK PT</t>
  </si>
  <si>
    <t>INDOFOOD SUKSES MAKMUR TBK P</t>
  </si>
  <si>
    <t>KRAKATAU STEEL PERSERO TBK</t>
  </si>
  <si>
    <t>NUSA RAYA CIPTA PT</t>
  </si>
  <si>
    <t>KERTAS BASUKI RACHMAT INDONE</t>
  </si>
  <si>
    <t>INDUSTRI JAMU DAN FARMASI SI</t>
  </si>
  <si>
    <t>WIJAYA KARYA BETON TBK PT</t>
  </si>
  <si>
    <t>NUSANTARA INFRASTRUCTURE TBK</t>
  </si>
  <si>
    <t>WEHA TRANSPORTASI INDONESIA</t>
  </si>
  <si>
    <t>SIDOMULYO SELARAS TBK PT</t>
  </si>
  <si>
    <t>SANURHASTA MITRA TBK PT</t>
  </si>
  <si>
    <t>PELAYARAN NASIONAL BINA BUAN</t>
  </si>
  <si>
    <t>CHAROEN POKPHAND INDONESI PT</t>
  </si>
  <si>
    <t>CARDIG AERO SERVICES TBK PT</t>
  </si>
  <si>
    <t>SALIM IVOMAS PRATAMA TBK PT</t>
  </si>
  <si>
    <t>NUSA KONSTRUKSI ENJINIRING</t>
  </si>
  <si>
    <t>SARANA MENARA NUSANTARA PT</t>
  </si>
  <si>
    <t>PT STEEL PIPE INDUSTRY OF IN</t>
  </si>
  <si>
    <t>SUMMARECON AGUNG TBK PT</t>
  </si>
  <si>
    <t>ANEKA GAS INDUSTRI TBK PT</t>
  </si>
  <si>
    <t>BAKRIE SUMATERA PLANTATIO PT</t>
  </si>
  <si>
    <t>UNITED TRACTORS TBK PT</t>
  </si>
  <si>
    <t>LIPPO CIKARANG PT</t>
  </si>
  <si>
    <t>BUMI CITRA PERMAI TBK PT</t>
  </si>
  <si>
    <t>TRISULA INTERNATIONAL TBK PT</t>
  </si>
  <si>
    <t>SAMINDO RESOURCES TBK PT</t>
  </si>
  <si>
    <t>CHITOSE INTERNASIONAL TBK PT</t>
  </si>
  <si>
    <t>LOTTE CHEMICAL TITAN TBK PT</t>
  </si>
  <si>
    <t>ADI SARANA ARMADA TBK PT</t>
  </si>
  <si>
    <t>J.A. WATTIE TBK PT</t>
  </si>
  <si>
    <t>ARWANA CITRAMULIA TBK PT</t>
  </si>
  <si>
    <t>GOLDEN EAGLE ENERGY TBK PT</t>
  </si>
  <si>
    <t>INDO TAMBANGRAYA MEGAH TBK P</t>
  </si>
  <si>
    <t>NIPPON INDOSARI CORPINDO TBK</t>
  </si>
  <si>
    <t>INDOFOOD CBP SUKSES MAKMUR T</t>
  </si>
  <si>
    <t>PANORAMA SENTRAWISATA TBK PT</t>
  </si>
  <si>
    <t>PABRIK KERTAS TJIWI KIMIA PT</t>
  </si>
  <si>
    <t>GARUDA METALINDO TBK PT</t>
  </si>
  <si>
    <t>COWELL DEVELOPMENT TBK PT</t>
  </si>
  <si>
    <t>HARUM ENERGY TBK PT</t>
  </si>
  <si>
    <t>INTILAND DEVELOPMENT TBK PT</t>
  </si>
  <si>
    <t>INDUSTRI DAN PERDAGANGAN BIN</t>
  </si>
  <si>
    <t>SARASWATI GRIYA LESTARI TBK</t>
  </si>
  <si>
    <t>SAMUDERA INDONESIA TBK PT</t>
  </si>
  <si>
    <t>CATUR SENTOSA ADIPRANA TBK</t>
  </si>
  <si>
    <t>SARANA MEDITAMA METROPOLITAN</t>
  </si>
  <si>
    <t>CITY RETAIL DEVELOPMENTS TBK</t>
  </si>
  <si>
    <t>GUDANG GARAM TBK PT</t>
  </si>
  <si>
    <t>WINTERMAR OFFSHORE MARINE</t>
  </si>
  <si>
    <t>INDOFARMA TBK PT</t>
  </si>
  <si>
    <t>SUPRA BOGA LESTARI TBK PT</t>
  </si>
  <si>
    <t>BUDI STARCH &amp; SWEETENER TBK</t>
  </si>
  <si>
    <t>MALINDO FEEDMILL TBK PT</t>
  </si>
  <si>
    <t>CENTRATAMA TELEKOMUNIKASI IN</t>
  </si>
  <si>
    <t>ACSET INDONUSA TBK PT</t>
  </si>
  <si>
    <t>GOLDEN PLANTATION TBK PT</t>
  </si>
  <si>
    <t>SELAMAT SEMPURNA PT</t>
  </si>
  <si>
    <t>LAUTAN LUAS TBK PT</t>
  </si>
  <si>
    <t>TIRTA MAHAKAM RESOURCES TBK</t>
  </si>
  <si>
    <t>EXPRESS TRANSINDO UTAMA TBK</t>
  </si>
  <si>
    <t>FKS FOOD SEJAHTERA TBK PT</t>
  </si>
  <si>
    <t>ASIA PACIFIC FIBERS TBK PT</t>
  </si>
  <si>
    <t>ASIAPLAST INDUSTRIES TBK PT</t>
  </si>
  <si>
    <t>SUMALINDO LESTARI JAYA PT</t>
  </si>
  <si>
    <t>TOTAL BANGUN PERSADA</t>
  </si>
  <si>
    <t>INDOSPRING TBK PT</t>
  </si>
  <si>
    <t>MITRA PEMUDA TBK PT</t>
  </si>
  <si>
    <t>SILOAM INTERNATIONAL HOSPITA</t>
  </si>
  <si>
    <t>DYANDRA MEDIA INTERNATIONAL</t>
  </si>
  <si>
    <t>RISTIA BINTANG MAHKOTA TBK</t>
  </si>
  <si>
    <t>ANUGERAH KAGUM KARYA UTAMA</t>
  </si>
  <si>
    <t>PERDANA KARYA PERKASA PT</t>
  </si>
  <si>
    <t>ASTRA AGRO LESTARI TBK PT</t>
  </si>
  <si>
    <t>KABELINDO MURNI TBK PT</t>
  </si>
  <si>
    <t>LOGINDO SAMUDRAMAKMUR TBK PT</t>
  </si>
  <si>
    <t>NIPRESS PT</t>
  </si>
  <si>
    <t>IMPACK PRATAMA INDUSTRI TBK</t>
  </si>
  <si>
    <t>BEKASI ASRI PEMULA TBK PT</t>
  </si>
  <si>
    <t>INDOCEMENT TUNGGAL PRAKARSA</t>
  </si>
  <si>
    <t>MEGAPOLITAN DEVELOPMENTS TBK</t>
  </si>
  <si>
    <t>DHARMA SAMUDERA FISHING PT</t>
  </si>
  <si>
    <t>JASUINDO TIGA PERKASA PT</t>
  </si>
  <si>
    <t>KINO INDONESIA TBK PT</t>
  </si>
  <si>
    <t>JAYA REAL PROPERTY PT</t>
  </si>
  <si>
    <t>FORZA LAND INDONESIA TBK PT</t>
  </si>
  <si>
    <t>SUMBER ALFARIA TRIJAYA TBK P</t>
  </si>
  <si>
    <t>WILMAR CAHAYA INDONESIA TBK</t>
  </si>
  <si>
    <t>INDONESIA TRANSPORT &amp; INFRAS</t>
  </si>
  <si>
    <t>SARATOGA INVESTAMA SEDAYA TB</t>
  </si>
  <si>
    <t>SURYAMAS DUTAMAKMUR TBK PT</t>
  </si>
  <si>
    <t>GREENWOOD SEJAHTERA TBK PT</t>
  </si>
  <si>
    <t>SARIGUNA PRIMATIRTA TBK PT</t>
  </si>
  <si>
    <t>ULTRAJAYA MILK IND &amp; TRADING</t>
  </si>
  <si>
    <t>GUNAWAN DIANJAYA STEEL TBK</t>
  </si>
  <si>
    <t>AUSTINDO NUSANTARA JAYA PT</t>
  </si>
  <si>
    <t>BETONJAYA MANUNGGAL TBK PT</t>
  </si>
  <si>
    <t>BAKRIELAND DEVELOPMENT PT</t>
  </si>
  <si>
    <t>SARANACENTRAL BAJATAMA TBK P</t>
  </si>
  <si>
    <t>MILLENNIUM PHARMACON INTL PT</t>
  </si>
  <si>
    <t>EKADHARMA INTERNATIONAL TBK</t>
  </si>
  <si>
    <t>TUNAS RIDEAN TBK PT</t>
  </si>
  <si>
    <t>MITRABAHTERA SEGARA SEJATI T</t>
  </si>
  <si>
    <t>ASTRA GRAPHIA TBK PT</t>
  </si>
  <si>
    <t>SOLUSI BANGUN INDONESIA TBK</t>
  </si>
  <si>
    <t>CENTRAL PROTEINAPRIMA TBK PT</t>
  </si>
  <si>
    <t>COLORPAK INDONESIA TBK PT</t>
  </si>
  <si>
    <t>TEMPO SCAN PACIFIC TBK PT</t>
  </si>
  <si>
    <t>MITRA PINASTHIKA MSTK TBK PT</t>
  </si>
  <si>
    <t>CENTRAL OMEGA RESOURCES TBK</t>
  </si>
  <si>
    <t>PROVIDENT AGRO TBK PT</t>
  </si>
  <si>
    <t>PEMBANGUNAN GRAHA LESTARI</t>
  </si>
  <si>
    <t>WICAKSANA OVERSEAS INTL PT</t>
  </si>
  <si>
    <t>INDOPOLY SWAKARSA INDUSTRY</t>
  </si>
  <si>
    <t>METRODATA ELECTRONIC PT</t>
  </si>
  <si>
    <t>KERAMIKA INDONESIA ASSOC PT</t>
  </si>
  <si>
    <t>ISLAND CONCEPTS INDONESIA PT</t>
  </si>
  <si>
    <t>SUPARMA TBK PT</t>
  </si>
  <si>
    <t>BHUWANATALA INDAH PERMAI PT</t>
  </si>
  <si>
    <t>ELECTRONIC CITY INDONESIA TB</t>
  </si>
  <si>
    <t>FAJAR SURYA WISESA PT</t>
  </si>
  <si>
    <t>KEDAWUNG SETIA INDUSTRIAL TB</t>
  </si>
  <si>
    <t>NUSANTARA PELABUHAN HANDAL T</t>
  </si>
  <si>
    <t>MULTI BINTANG INDONESIA PT</t>
  </si>
  <si>
    <t>DUA PUTRA UTAMA MAKMUR TBK P</t>
  </si>
  <si>
    <t>ATELIERS MECANIQUES D INDONE</t>
  </si>
  <si>
    <t>PRIMA ALLOY STEEL UNIVERSAL</t>
  </si>
  <si>
    <t>RESOURCE ALAM INDONESIA TBK</t>
  </si>
  <si>
    <t>METROPOLITAN KENTJANA TBK PT</t>
  </si>
  <si>
    <t>MULTISTRADA ARAH SARANA TBK</t>
  </si>
  <si>
    <t>BISI INTERNATIONAL PT</t>
  </si>
  <si>
    <t>INTI AGRI RESOURCES TBK PT</t>
  </si>
  <si>
    <t>INDAL ALUMINIUM INDUSTRY PT</t>
  </si>
  <si>
    <t>BALI TOWERINDO SENTRA TBK PT</t>
  </si>
  <si>
    <t>RED PLANET INDONESIA TBK PT</t>
  </si>
  <si>
    <t>WILTON MAKMUR INDONESIA TBK</t>
  </si>
  <si>
    <t>MULTIPOLAR TECHNOLOGY TBK PT</t>
  </si>
  <si>
    <t>DARYA VARIA LABORATORIA PT</t>
  </si>
  <si>
    <t>CHAMPION PACIFIC INDONESIA</t>
  </si>
  <si>
    <t>PYRIDAM FARMA TBK PT</t>
  </si>
  <si>
    <t>ATLAS RESOURCES TBK PT</t>
  </si>
  <si>
    <t>GRAND KARTECH TBK PT</t>
  </si>
  <si>
    <t>SAMPOERNA AGRO TBK PT</t>
  </si>
  <si>
    <t>INDONESIAN PARADISE PROPERTY</t>
  </si>
  <si>
    <t>SURYA TOTO INDONESIA PT</t>
  </si>
  <si>
    <t>BERLINA TBK PT</t>
  </si>
  <si>
    <t>SEJAHTERARAYA ANUGRAHJAYA TB</t>
  </si>
  <si>
    <t>FORTUNE MATE INDONESIA PT</t>
  </si>
  <si>
    <t>PRODIA WIDYAHUSADA TBK PT</t>
  </si>
  <si>
    <t>JAKARTA KYOEI STEEL WORKS TB</t>
  </si>
  <si>
    <t>METROPOLITAN LAND TBK PT</t>
  </si>
  <si>
    <t>ALUMINDO LIGHT METAL INDU PT</t>
  </si>
  <si>
    <t>HUMPUSS INTERMODA TRANS PT</t>
  </si>
  <si>
    <t>CITRA MARGA NUSAPHALA PER PT</t>
  </si>
  <si>
    <t>MEGA MANUNGGAL PROPERTY TBK</t>
  </si>
  <si>
    <t>WAHANA PRONATURAL TBK PT</t>
  </si>
  <si>
    <t>ZEBRA NUSANTARA TBK PT</t>
  </si>
  <si>
    <t>AKASHA WIRA INTERNATIONAL TB</t>
  </si>
  <si>
    <t>MULIA INDUSTRINDO TBK PT</t>
  </si>
  <si>
    <t>MERCK TBK PT</t>
  </si>
  <si>
    <t>MUSTIKA RATU TBK PT</t>
  </si>
  <si>
    <t>STEADY SAFE TBK PT</t>
  </si>
  <si>
    <t>BLUE BIRD TBK PT</t>
  </si>
  <si>
    <t>WISMILAK INTI MAKMUR TBK PT</t>
  </si>
  <si>
    <t>SREEYA SEWU INDONESIA TBK PT</t>
  </si>
  <si>
    <t>BUMITEKNOKULTURA UNGGUL TBK</t>
  </si>
  <si>
    <t>RICKY PUTRA GLOBALINDO PT</t>
  </si>
  <si>
    <t>TOBA PULP LESTARI TBK PT</t>
  </si>
  <si>
    <t>SUPREME CABLE MFG CORP PT</t>
  </si>
  <si>
    <t>ASTRA OTOPARTS TBK PT</t>
  </si>
  <si>
    <t>DELTA DJAKARTA TBK PT</t>
  </si>
  <si>
    <t>TEMBAGA MULIA SEMANAN TBK PT</t>
  </si>
  <si>
    <t>GEMA GRAHASARANA TBK PT</t>
  </si>
  <si>
    <t>HEXINDO ADIPERKASA TBK PT</t>
  </si>
  <si>
    <t>RIG TENDERS INDONESIA PT</t>
  </si>
  <si>
    <t>SUMBER ENERGI ANDALAN TBK P</t>
  </si>
  <si>
    <t>SUNSON TEXTILE MANUFACTURER</t>
  </si>
  <si>
    <t>BUKAKA TEKNIK UTAMA TBK PT</t>
  </si>
  <si>
    <t>PARAMITA BANGUN SARANA TBK P</t>
  </si>
  <si>
    <t>DHARMA SATYA NUSANTARA PT</t>
  </si>
  <si>
    <t>MARTINA BERTO TBK PT</t>
  </si>
  <si>
    <t>SEPATU BATA PT</t>
  </si>
  <si>
    <t>AKSARA GLOBAL DEVELOPMENT TB</t>
  </si>
  <si>
    <t>CITATAH TBK PT</t>
  </si>
  <si>
    <t>JEMBO CABLE CO TBK PT</t>
  </si>
  <si>
    <t>AKBAR INDO MAKMUR STIMEC PT</t>
  </si>
  <si>
    <t>PROTECH MITRA PERKASA TBK PT</t>
  </si>
  <si>
    <t>ALAKASA INDUSTRINDO TBK PT</t>
  </si>
  <si>
    <t>PRASIDHA ANEKA NIAGA TBK PT</t>
  </si>
  <si>
    <t>HOTEL SAHID JAYA INTL PT</t>
  </si>
  <si>
    <t>ICTSI JASA PRIMA TBK PT</t>
  </si>
  <si>
    <t>BUKIT ULUWATU VILLA TBK PT</t>
  </si>
  <si>
    <t>UNGGUL INDAH CAHAYA TBK PT</t>
  </si>
  <si>
    <t>BINAKARYA JAYA ABADI TBK PT</t>
  </si>
  <si>
    <t>BUKIT DARMO PROPERTY TBK</t>
  </si>
  <si>
    <t>ASIA PACIFIC INVESTAMA TBK P</t>
  </si>
  <si>
    <t>MITRA INVESTINDO TBK PT</t>
  </si>
  <si>
    <t>FASTFOOD INDONESIA TBK PT</t>
  </si>
  <si>
    <t>RODA VIVATEX TBK PT</t>
  </si>
  <si>
    <t>PRIMARINDO ASIA INFRASTRU PT</t>
  </si>
  <si>
    <t>BENTOEL INTL INVESTAMA PT</t>
  </si>
  <si>
    <t>PEMBANGUNAN JAYA ANCOL TBK</t>
  </si>
  <si>
    <t>MULTI INDOCITRA TBK PT</t>
  </si>
  <si>
    <t>MULTIFILING MITRA INDONESIA</t>
  </si>
  <si>
    <t>JAYA KONSTRUKSI MANGGALA</t>
  </si>
  <si>
    <t>TIGARAKSA SATRIA TBK PT</t>
  </si>
  <si>
    <t>INDOMOBIL SUKSES INTERNASION</t>
  </si>
  <si>
    <t>METRO REALTY TBK PT</t>
  </si>
  <si>
    <t>INTI BANGUN SEJAHTERA TBK PT</t>
  </si>
  <si>
    <t>MULTI AGRO GEMILANG PLANTATI</t>
  </si>
  <si>
    <t>PELANGI INDAH CANINDO TBK PT</t>
  </si>
  <si>
    <t>DUTA ANGGADA REALTY TBK PT</t>
  </si>
  <si>
    <t>TBS ENERGI UTAMA TBK PT</t>
  </si>
  <si>
    <t>EKA SARI LORENA TRANSPORT TB</t>
  </si>
  <si>
    <t>TRANS POWER MARINE TBK PT</t>
  </si>
  <si>
    <t>INTAWIJAYA INTERNASIONAL TBK</t>
  </si>
  <si>
    <t>MITRA INTERNATIONAL RESOURCE</t>
  </si>
  <si>
    <t>ASAHIMAS FLAT GLASS TBK PT</t>
  </si>
  <si>
    <t>TRI BANYAN TIRTA TBK PT</t>
  </si>
  <si>
    <t>GRAHA LAYAR PRIMA TBK PT</t>
  </si>
  <si>
    <t>ARITA PRIMA INDONESIA TBK PT</t>
  </si>
  <si>
    <t>ERATEX DJAJA TBK PT</t>
  </si>
  <si>
    <t>INDONESIA PONDASI RAYA TBK P</t>
  </si>
  <si>
    <t>ETERINDO WAHANATAMA TBK PT</t>
  </si>
  <si>
    <t>SINAR MAS AGRO RES &amp; TECH</t>
  </si>
  <si>
    <t>LIONMESH PRIMA TBK PT</t>
  </si>
  <si>
    <t>PUDJIADI PRESTIGE TBK PT</t>
  </si>
  <si>
    <t>LION METAL WORKS PT</t>
  </si>
  <si>
    <t>LANGGENG MAKMUR INDUSTRI PT</t>
  </si>
  <si>
    <t>ARGHA KARYA PRIMA INDUSTR PT</t>
  </si>
  <si>
    <t>SEKAR BUMI TBK PT</t>
  </si>
  <si>
    <t>KOKOH INTI AREBAMA TBK PT</t>
  </si>
  <si>
    <t>BAYU BUANA TBK PT</t>
  </si>
  <si>
    <t>TUNAS ALFIN TBK PT</t>
  </si>
  <si>
    <t>TRIAS SENTOSA TBK PT</t>
  </si>
  <si>
    <t>BAKRIE &amp; BROTHERS PT</t>
  </si>
  <si>
    <t>TRADA ALAM MINERA TBK PT</t>
  </si>
  <si>
    <t>INDORAMA SYNTHETICS TBK PT</t>
  </si>
  <si>
    <t>HERO SUPERMARKET TBK PT</t>
  </si>
  <si>
    <t>YANAPRIMA HASTAPERSADA TBK</t>
  </si>
  <si>
    <t>INDO KORDSA TBK PT</t>
  </si>
  <si>
    <t>VOKSEL ELECTRIC TBK PT</t>
  </si>
  <si>
    <t>DUTA INTIDAYA TBK PT</t>
  </si>
  <si>
    <t>PIONEERINDO GOURMET INTERNAT</t>
  </si>
  <si>
    <t>TIFICO FIBER INDONESIA TBK</t>
  </si>
  <si>
    <t>TIRA AUSTENITE PT</t>
  </si>
  <si>
    <t>ARGO PANTES PT</t>
  </si>
  <si>
    <t>PANASIA INDO RESOURCES TBK</t>
  </si>
  <si>
    <t>SONA TOPAS TOURISM INDUST PT</t>
  </si>
  <si>
    <t>MULTI PRIMA SEJAHTERA PT</t>
  </si>
  <si>
    <t>BERLIAN LAJU TANKER TBK PT</t>
  </si>
  <si>
    <t>SIWANI MAKMUR TBK PT</t>
  </si>
  <si>
    <t>MEGA PERINTIS TBK PT</t>
  </si>
  <si>
    <t>ESTIKA TATA TIARA TBK PT</t>
  </si>
  <si>
    <t>POLLUX INVESTASI INTERNASION</t>
  </si>
  <si>
    <t>SENTRA FOOD INDONESIA TBK PT</t>
  </si>
  <si>
    <t>CITRA PUTRA REALTY PT</t>
  </si>
  <si>
    <t>ARMADA BERJAYA TRANS TBK PT</t>
  </si>
  <si>
    <t>ARKHA JAYANTI PERSADA TBK PT</t>
  </si>
  <si>
    <t>WAHANA INTERFOOD NUSANTARA T</t>
  </si>
  <si>
    <t>META EPSI PT</t>
  </si>
  <si>
    <t>CAPRI NUSA SATU PROPERTI TBK</t>
  </si>
  <si>
    <t>MENTENG HERMITAGE REALTY TBK</t>
  </si>
  <si>
    <t>BLISS PROPERTI INDONESIA PT</t>
  </si>
  <si>
    <t>HOTEL FITRA INTERNATIONAL TB</t>
  </si>
  <si>
    <t>BALI BINTANG SEJAHTERA TBK P</t>
  </si>
  <si>
    <t>ROYAL PRIMA TBK PT</t>
  </si>
  <si>
    <t>TRANSCOAL PACIFIC TBK PT</t>
  </si>
  <si>
    <t>SARIMELATI KENCANA PT</t>
  </si>
  <si>
    <t>GUNA TIMUR RAYA TBK PT</t>
  </si>
  <si>
    <t>JAYA BERSAMA INDO TBK PT</t>
  </si>
  <si>
    <t>MAP AKTIF ADIPERKASA PT</t>
  </si>
  <si>
    <t>SRIWAHANA ADITYAKARTA TBK PT</t>
  </si>
  <si>
    <t>TRIMUDA NUANSA CITRA PT</t>
  </si>
  <si>
    <t>MAHKOTA GROUP TBK PT</t>
  </si>
  <si>
    <t>JAYA SUKSES MAKMUR SENTOSA T</t>
  </si>
  <si>
    <t>POLLUX PROPERTI INDONESIA TB</t>
  </si>
  <si>
    <t>TRIMITRA PROPERTINDO PT</t>
  </si>
  <si>
    <t>ANDIRA AGRO TBK PT</t>
  </si>
  <si>
    <t>SUPERKRANE MITRA UTAMA TBK P</t>
  </si>
  <si>
    <t>NATURA CITY DEVELOPMENTS PT</t>
  </si>
  <si>
    <t>GARUDAFOOD PUTRA PUTRI JAYA</t>
  </si>
  <si>
    <t>PRATAMA ABADI NUSA INDUSTRI</t>
  </si>
  <si>
    <t>HK METALS UTAMA TBK PT</t>
  </si>
  <si>
    <t>SATRIA ANTARAN PRIMA PT</t>
  </si>
  <si>
    <t>MAHA PROPERTI INDONESIA TBK</t>
  </si>
  <si>
    <t>COTTONINDO ARIESTA TBK PT</t>
  </si>
  <si>
    <t>SURYA PERMATA ANDALAN TBK PT</t>
  </si>
  <si>
    <t>DEWATA FREIGHTINTERNATIONAL</t>
  </si>
  <si>
    <t>CAHAYAPUTRA ASA KERAMIK TBK</t>
  </si>
  <si>
    <t>DISTRIBUSI VOUCHER NUSANTARA</t>
  </si>
  <si>
    <t>SHIELD-ON SERVICE TBK PT</t>
  </si>
  <si>
    <t>URBAN JAKARTA PROPERTINDO TB</t>
  </si>
  <si>
    <t>SATRIA MEGA KENCANA TBK PT</t>
  </si>
  <si>
    <t>PUDJIADI &amp; SONS TBK PT</t>
  </si>
  <si>
    <t>INTER DELTA TBK PT</t>
  </si>
  <si>
    <t>JAKARTA INT'L HOTELS &amp; DEV</t>
  </si>
  <si>
    <t>MERDEKA COPPER GOLD TBK PT</t>
  </si>
  <si>
    <t>ANABATIC TECHNOLOGIES TBK PT</t>
  </si>
  <si>
    <t>BUYUNG POETRA SEMBADA PT</t>
  </si>
  <si>
    <t>COMMUNICATION CABLE SYSTEMS</t>
  </si>
  <si>
    <t>GLOBAL TELESHOP TBK PT</t>
  </si>
  <si>
    <t>GOLDEN FLOWER PT</t>
  </si>
  <si>
    <t>SATYAMITRA KEMAS LESTARI TBK</t>
  </si>
  <si>
    <t>DUTA PERTIWI TBK PT</t>
  </si>
  <si>
    <t>GOLDEN ENERGY MINES TBK PT</t>
  </si>
  <si>
    <t>INDO STRAITS TBK PT</t>
  </si>
  <si>
    <t>HOTEL MANDARINE REGENCY TBK</t>
  </si>
  <si>
    <t>SOLUSI TUNAS PRATAMA TBK PT</t>
  </si>
  <si>
    <t>VISI TELEKOMUNIKASI INFRASTR</t>
  </si>
  <si>
    <t>ALKINDO NARATAMA TBK PT</t>
  </si>
  <si>
    <t>GARDA TUJUH BUANA TBK PT</t>
  </si>
  <si>
    <t>NORTHCLIFF CITRANUSA INDONES</t>
  </si>
  <si>
    <t>TRIWIRA INSANLESTARI TBK PT</t>
  </si>
  <si>
    <t>CITA MINERAL INVESTINDO TBK</t>
  </si>
  <si>
    <t>TRIKOMSEL OKE TBK PT</t>
  </si>
  <si>
    <t>BAYAN RESOURCES TBK PT</t>
  </si>
  <si>
    <t>GOWA MAKASSAR TOURISM DEVEL</t>
  </si>
  <si>
    <t>BINTANG MITRA SEMESTARAYA TB</t>
  </si>
  <si>
    <t>POLARIS INVESTAMA TBK PT</t>
  </si>
  <si>
    <t>PLAZA INDONESIA REALTY PT</t>
  </si>
  <si>
    <t>RIMO INTERNATIONAL LESTARI T</t>
  </si>
  <si>
    <t>PIKKO LAND DEVELOPMENT TBK P</t>
  </si>
  <si>
    <t>SUMI INDO KABEL TBK PT</t>
  </si>
  <si>
    <t>CENTURY TEXTILE INDUSTRY</t>
  </si>
  <si>
    <t>CITRA TUBINDO TBK PT</t>
  </si>
  <si>
    <t>AIRASIA INDONESIA TBK PT</t>
  </si>
  <si>
    <t>ABM INVESTAMA TBK PT</t>
  </si>
  <si>
    <t>MIDI UTAMA INDONESIA TBK PT</t>
  </si>
  <si>
    <t>INDONESIA PRIMA PROPERTY PT</t>
  </si>
  <si>
    <t>DIAN SWASTATIKA SENTOSA TBK</t>
  </si>
  <si>
    <t>GOODYEAR INDONESIA PT</t>
  </si>
  <si>
    <t>ORGANON PHARMA INDONESIA TBK</t>
  </si>
  <si>
    <t>DESTINASI TIRTA NUSANTARA</t>
  </si>
  <si>
    <t>SEKAR LAUT TBK PT</t>
  </si>
  <si>
    <t>PELAYARAN NELLY DWI PUTRI</t>
  </si>
  <si>
    <t>BARAMULTI SUKSESSARANA TBK P</t>
  </si>
  <si>
    <t>ENSEVAL PUTERA MEGATRADIN PT</t>
  </si>
  <si>
    <t>MANDOM INDONESIA TBK PT</t>
  </si>
  <si>
    <t>EVER SHINE TEX TBK PT</t>
  </si>
  <si>
    <t>DUTA PERTIWI NUSANTARA PT</t>
  </si>
  <si>
    <t>FKS MULTI AGRO TBK PT</t>
  </si>
  <si>
    <t>PERDANA BANGUN PUSAKA TBK PT</t>
  </si>
  <si>
    <t>SIANTAR TOP PT</t>
  </si>
  <si>
    <t>MULIA BOGA RAYA TBK PT</t>
  </si>
  <si>
    <t>UNI-CHARM INDONESIA TBK PT</t>
  </si>
  <si>
    <t>IFISHDECO TBK PT</t>
  </si>
  <si>
    <t>GALVA TECHNOLOGY TBK PT</t>
  </si>
  <si>
    <t>INDONESIA FIBREBOARD INDUSTR</t>
  </si>
  <si>
    <t>REPOWER ASIA INDONESIA PT</t>
  </si>
  <si>
    <t>PERINTIS TRINITI PROPERTI TB</t>
  </si>
  <si>
    <t>PUTRA MANDIRI JEMBAR TBK PT</t>
  </si>
  <si>
    <t>CISADANE SAWIT RAYA TBK PT</t>
  </si>
  <si>
    <t>ROYALINDO INVESTA WIJAYA TBK</t>
  </si>
  <si>
    <t>DIAMOND FOOD INDONESIA TBK P</t>
  </si>
  <si>
    <t>PUTRA RAJAWALI KENCANA TBK P</t>
  </si>
  <si>
    <t>PRATAMA WIDYA TBK PT</t>
  </si>
  <si>
    <t>DIAMOND CITRA PROPERTINDO TB</t>
  </si>
  <si>
    <t>AGRO YASA LESTARI TBK PT</t>
  </si>
  <si>
    <t>METRO HEALTHCARE INDONESIA T</t>
  </si>
  <si>
    <t>BATULICIN NUSANTARA MARITIM</t>
  </si>
  <si>
    <t>ESTA MUTLI USAHA TBK PT</t>
  </si>
  <si>
    <t>MAKMUR BERKAH AMANDA TBK PT</t>
  </si>
  <si>
    <t>SARASWANTI ANUGERAH MAKMUR T</t>
  </si>
  <si>
    <t>SEJAHTERA BINTANG ABADI TEXT</t>
  </si>
  <si>
    <t>CIPTA SELERA MURNI TBK PT</t>
  </si>
  <si>
    <t>KARYA BERSAMA ANUGERAH TBK P</t>
  </si>
  <si>
    <t>BUMI BENOWO SUKSES SEJAHTERA</t>
  </si>
  <si>
    <t>CAHAYA BINTANG MEDAN TBK PT</t>
  </si>
  <si>
    <t>MITRABARA ADIPERDANA TBK PT</t>
  </si>
  <si>
    <t>ENVY TECHNOLOGIES INDONESIA</t>
  </si>
  <si>
    <t>HENSEL DAVEST INDONESIA TBK</t>
  </si>
  <si>
    <t>DMS PROPERTINDO TBK PT</t>
  </si>
  <si>
    <t>KRIDA JARINGAN NUSANTARA TBK</t>
  </si>
  <si>
    <t>INDONESIAN TOBACCO TBK PT</t>
  </si>
  <si>
    <t>BIMA SAKTI PERTIWI TBK PT</t>
  </si>
  <si>
    <t>DARMI BERSAUDARA TBK PT</t>
  </si>
  <si>
    <t>EASTPARC HOTEL TBK PT</t>
  </si>
  <si>
    <t>INOCYCLE TECHNOLOGY GROUP TB</t>
  </si>
  <si>
    <t>BHAKTI AGUNG PROPERTINDO TBK</t>
  </si>
  <si>
    <t>TELEFAST INDONESIA PT</t>
  </si>
  <si>
    <t>GUNUNG RAJA PAKSI TBK PT</t>
  </si>
  <si>
    <t>TRINITAN METALS &amp; MINERALS T</t>
  </si>
  <si>
    <t>ITAMA RANORAYA TBK PT</t>
  </si>
  <si>
    <t>NUSANTARA ALMAZIA TBK PT</t>
  </si>
  <si>
    <t>GAYA ABADI SEMPURNA TBK PT</t>
  </si>
  <si>
    <t>DANA BRATA LUHUR TBK PT</t>
  </si>
  <si>
    <t>PALMA SERASIH TBK PT</t>
  </si>
  <si>
    <t>SINERGI INTI PLASTINDO TBK P</t>
  </si>
  <si>
    <t>CAHAYASAKTI INVESTINDO SUKSE</t>
  </si>
  <si>
    <t>TOTALINDO EKA PERSADA TBK PT</t>
  </si>
  <si>
    <t>HARTADINATA ABADI TBK PT</t>
  </si>
  <si>
    <t>KIRANA MEGATARA TBK PT</t>
  </si>
  <si>
    <t>INTEGRA INDOCABINET TBK PT</t>
  </si>
  <si>
    <t>MAP BOGA ADIPERKASA UTAMA TB</t>
  </si>
  <si>
    <t>ALFA ENERGI INVESTAMA TBK PT</t>
  </si>
  <si>
    <t>ARMIDIAN KARYATAMA TBK PT</t>
  </si>
  <si>
    <t>MARGA ABHINAYA ABADI TBK PT</t>
  </si>
  <si>
    <t>MARK DYNAMICS INDONESIA PT</t>
  </si>
  <si>
    <t>ANDALAN PERKASA ABADI TBK PT</t>
  </si>
  <si>
    <t>EMDEKI UTAMA PT</t>
  </si>
  <si>
    <t>JASA ARMADA INDONESIA PT</t>
  </si>
  <si>
    <t>GARUDA MAINTENANCE FACILITY</t>
  </si>
  <si>
    <t>KIOSON KOMERSIAL INDONESIA T</t>
  </si>
  <si>
    <t>TRISULA TEXTILE INDUSTRIES T</t>
  </si>
  <si>
    <t>KAPUAS PRIMA COAL TBK PT</t>
  </si>
  <si>
    <t>M CASH INTEGRASI PT</t>
  </si>
  <si>
    <t>PP PRESISI TBK PT</t>
  </si>
  <si>
    <t>WIJAYA KARYA BANGUNAN GEDUNG</t>
  </si>
  <si>
    <t>PANCA BUDI IDAMAN PT</t>
  </si>
  <si>
    <t>CAMPINA ICE CREAM INDUSTRY P</t>
  </si>
  <si>
    <t>DWI GUNA LAKSANA TBK PT</t>
  </si>
  <si>
    <t>PRIMA CAKRAWALA ABADI TBK PT</t>
  </si>
  <si>
    <t>LCK GLOBAL KEDATON TBK</t>
  </si>
  <si>
    <t>BORNEO OLAH SARANA SUKSES PT</t>
  </si>
  <si>
    <t>GIHON TELEKOMUNIKASI INDONES</t>
  </si>
  <si>
    <t>SURYA PERTIWI TBK PT</t>
  </si>
  <si>
    <t>JAYA TRISHINDO TBK PT</t>
  </si>
  <si>
    <t>MEDIKALOKA HERMINA TBK PT</t>
  </si>
  <si>
    <t>DAFAM PROPERTY INDONESIA TBK</t>
  </si>
  <si>
    <t>TRIDOMAIN PERFORMANCE MATERI</t>
  </si>
  <si>
    <t>STEADFAST MARINE PT</t>
  </si>
  <si>
    <t>INTIKERAMIK ALAMASRI INDU PT</t>
  </si>
  <si>
    <t>JAKARTA SETIABUDI INTL PT</t>
  </si>
  <si>
    <t>INDO KOMODITI KORPORA TBK PT</t>
  </si>
  <si>
    <t>368.70M</t>
  </si>
  <si>
    <t>82.96M</t>
  </si>
  <si>
    <t>41.62M</t>
  </si>
  <si>
    <t>40.48M</t>
  </si>
  <si>
    <t>33.86M</t>
  </si>
  <si>
    <t>32.98M</t>
  </si>
  <si>
    <t>29.63M</t>
  </si>
  <si>
    <t>25.19M</t>
  </si>
  <si>
    <t>24.41M</t>
  </si>
  <si>
    <t>21.42M</t>
  </si>
  <si>
    <t>20.71M</t>
  </si>
  <si>
    <t>20.15M</t>
  </si>
  <si>
    <t>19.80M</t>
  </si>
  <si>
    <t>18.20M</t>
  </si>
  <si>
    <t>17.75M</t>
  </si>
  <si>
    <t>16.53M</t>
  </si>
  <si>
    <t>15.77M</t>
  </si>
  <si>
    <t>15.44M</t>
  </si>
  <si>
    <t>15.05M</t>
  </si>
  <si>
    <t>14.80M</t>
  </si>
  <si>
    <t>13.76M</t>
  </si>
  <si>
    <t>13.05M</t>
  </si>
  <si>
    <t>12.93M</t>
  </si>
  <si>
    <t>10.80M</t>
  </si>
  <si>
    <t>9.19M</t>
  </si>
  <si>
    <t>8.84M</t>
  </si>
  <si>
    <t>7.99M</t>
  </si>
  <si>
    <t>7.97M</t>
  </si>
  <si>
    <t>7.79M</t>
  </si>
  <si>
    <t>7.51M</t>
  </si>
  <si>
    <t>6.91M</t>
  </si>
  <si>
    <t>6.42M</t>
  </si>
  <si>
    <t>5.99M</t>
  </si>
  <si>
    <t>4.88M</t>
  </si>
  <si>
    <t>4.73M</t>
  </si>
  <si>
    <t>4.69M</t>
  </si>
  <si>
    <t>4.52M</t>
  </si>
  <si>
    <t>4.42M</t>
  </si>
  <si>
    <t>4.37M</t>
  </si>
  <si>
    <t>4.17M</t>
  </si>
  <si>
    <t>3.80M</t>
  </si>
  <si>
    <t>3.60M</t>
  </si>
  <si>
    <t>3.33M</t>
  </si>
  <si>
    <t>3.25M</t>
  </si>
  <si>
    <t>3.01M</t>
  </si>
  <si>
    <t>2.77M</t>
  </si>
  <si>
    <t>2.05M</t>
  </si>
  <si>
    <t>1.99M</t>
  </si>
  <si>
    <t>1.60M</t>
  </si>
  <si>
    <t>1.56M</t>
  </si>
  <si>
    <t>1.52M</t>
  </si>
  <si>
    <t>1.48M</t>
  </si>
  <si>
    <t>1.41M</t>
  </si>
  <si>
    <t>1.38M</t>
  </si>
  <si>
    <t>1.16M</t>
  </si>
  <si>
    <t>1.03M</t>
  </si>
  <si>
    <t>1.00M</t>
  </si>
  <si>
    <t>908.60k</t>
  </si>
  <si>
    <t>881.50k</t>
  </si>
  <si>
    <t>863.80k</t>
  </si>
  <si>
    <t>675.40k</t>
  </si>
  <si>
    <t>595.80k</t>
  </si>
  <si>
    <t>552.70k</t>
  </si>
  <si>
    <t>527.30k</t>
  </si>
  <si>
    <t>432.30k</t>
  </si>
  <si>
    <t>353.00k</t>
  </si>
  <si>
    <t>238.40k</t>
  </si>
  <si>
    <t>181.50k</t>
  </si>
  <si>
    <t>90.30k</t>
  </si>
  <si>
    <t>65.70k</t>
  </si>
  <si>
    <t>51.50k</t>
  </si>
  <si>
    <t>50.00k</t>
  </si>
  <si>
    <t>20.00k</t>
  </si>
  <si>
    <t>19.80k</t>
  </si>
  <si>
    <t>19.30k</t>
  </si>
  <si>
    <t>13.30k</t>
  </si>
  <si>
    <t>12.30k</t>
  </si>
  <si>
    <t>12.00k</t>
  </si>
  <si>
    <t>11.50k</t>
  </si>
  <si>
    <t>10.90k</t>
  </si>
  <si>
    <t>10.00k</t>
  </si>
  <si>
    <t>5.00k</t>
  </si>
  <si>
    <t>2.70k</t>
  </si>
  <si>
    <t>1.20k</t>
  </si>
  <si>
    <t>1.10k</t>
  </si>
  <si>
    <t>700.00</t>
  </si>
  <si>
    <t>400.00</t>
  </si>
  <si>
    <t>300.00</t>
  </si>
  <si>
    <t>200.00</t>
  </si>
  <si>
    <t>100.00</t>
  </si>
  <si>
    <t xml:space="preserve"> </t>
  </si>
  <si>
    <t>29.75M</t>
  </si>
  <si>
    <t>5.28M</t>
  </si>
  <si>
    <t>3.38M</t>
  </si>
  <si>
    <t>1.92M</t>
  </si>
  <si>
    <t>133.03M</t>
  </si>
  <si>
    <t>32.28M</t>
  </si>
  <si>
    <t>27.66M</t>
  </si>
  <si>
    <t>20.16M</t>
  </si>
  <si>
    <t>18.29M</t>
  </si>
  <si>
    <t>4.98M</t>
  </si>
  <si>
    <t>28.82M</t>
  </si>
  <si>
    <t>48.87M</t>
  </si>
  <si>
    <t>38.02M</t>
  </si>
  <si>
    <t>27.44M</t>
  </si>
  <si>
    <t>6.36M</t>
  </si>
  <si>
    <t>5.12M</t>
  </si>
  <si>
    <t>2.24M</t>
  </si>
  <si>
    <t>2.02M</t>
  </si>
  <si>
    <t>6.69M</t>
  </si>
  <si>
    <t>4.43M</t>
  </si>
  <si>
    <t>19.24M</t>
  </si>
  <si>
    <t>564.30k</t>
  </si>
  <si>
    <t>8.54M</t>
  </si>
  <si>
    <t>34.44M</t>
  </si>
  <si>
    <t>9.26M</t>
  </si>
  <si>
    <t>1.53M</t>
  </si>
  <si>
    <t>4.13M</t>
  </si>
  <si>
    <t>2.19M</t>
  </si>
  <si>
    <t>22.54M</t>
  </si>
  <si>
    <t>6.54M</t>
  </si>
  <si>
    <t>14.99M</t>
  </si>
  <si>
    <t>5.04M</t>
  </si>
  <si>
    <t>11.55M</t>
  </si>
  <si>
    <t>5.09M</t>
  </si>
  <si>
    <t>5.97M</t>
  </si>
  <si>
    <t>3.68M</t>
  </si>
  <si>
    <t>968.00k</t>
  </si>
  <si>
    <t>4.38M</t>
  </si>
  <si>
    <t>137.00k</t>
  </si>
  <si>
    <t>4.11M</t>
  </si>
  <si>
    <t>1.71M</t>
  </si>
  <si>
    <t>1.23M</t>
  </si>
  <si>
    <t>985.20k</t>
  </si>
  <si>
    <t>1.91M</t>
  </si>
  <si>
    <t>2.15M</t>
  </si>
  <si>
    <t>4.27M</t>
  </si>
  <si>
    <t>2.56M</t>
  </si>
  <si>
    <t>1.95M</t>
  </si>
  <si>
    <t>3.29M</t>
  </si>
  <si>
    <t>6.20M</t>
  </si>
  <si>
    <t>2.55M</t>
  </si>
  <si>
    <t>1.97M</t>
  </si>
  <si>
    <t>59.00k</t>
  </si>
  <si>
    <t>15.15M</t>
  </si>
  <si>
    <t>2.81M</t>
  </si>
  <si>
    <t>261.00k</t>
  </si>
  <si>
    <t>5.18M</t>
  </si>
  <si>
    <t>665.60k</t>
  </si>
  <si>
    <t>800.00</t>
  </si>
  <si>
    <t>1.49M</t>
  </si>
  <si>
    <t>2.00M</t>
  </si>
  <si>
    <t>2.42M</t>
  </si>
  <si>
    <t>35.10k</t>
  </si>
  <si>
    <t>14.50k</t>
  </si>
  <si>
    <t>867.30k</t>
  </si>
  <si>
    <t>380.20k</t>
  </si>
  <si>
    <t>1.25M</t>
  </si>
  <si>
    <t>30.00k</t>
  </si>
  <si>
    <t>88.40k</t>
  </si>
  <si>
    <t>348.10k</t>
  </si>
  <si>
    <t>103.90k</t>
  </si>
  <si>
    <t>1.39M</t>
  </si>
  <si>
    <t>5.72M</t>
  </si>
  <si>
    <t>10.10k</t>
  </si>
  <si>
    <t>3.50k</t>
  </si>
  <si>
    <t>4.19M</t>
  </si>
  <si>
    <t>77.80k</t>
  </si>
  <si>
    <t>1.81M</t>
  </si>
  <si>
    <t>3.46M</t>
  </si>
  <si>
    <t>2.46M</t>
  </si>
  <si>
    <t>48.52M</t>
  </si>
  <si>
    <t>55.43M</t>
  </si>
  <si>
    <t>5.55M</t>
  </si>
  <si>
    <t>14.46M</t>
  </si>
  <si>
    <t>36.01M</t>
  </si>
  <si>
    <t>10.91M</t>
  </si>
  <si>
    <t>83.34M</t>
  </si>
  <si>
    <t>4.00M</t>
  </si>
  <si>
    <t>22.29M</t>
  </si>
  <si>
    <t>19.07M</t>
  </si>
  <si>
    <t>4.03M</t>
  </si>
  <si>
    <t>9.99M</t>
  </si>
  <si>
    <t>46.86M</t>
  </si>
  <si>
    <t>21.09M</t>
  </si>
  <si>
    <t>7.04M</t>
  </si>
  <si>
    <t>4.94M</t>
  </si>
  <si>
    <t>8.83M</t>
  </si>
  <si>
    <t>18.49M</t>
  </si>
  <si>
    <t>16.33M</t>
  </si>
  <si>
    <t>581.80k</t>
  </si>
  <si>
    <t>19.35M</t>
  </si>
  <si>
    <t>4.78M</t>
  </si>
  <si>
    <t>28.96M</t>
  </si>
  <si>
    <t>7.78M</t>
  </si>
  <si>
    <t>2.84M</t>
  </si>
  <si>
    <t>7.09M</t>
  </si>
  <si>
    <t>28.36M</t>
  </si>
  <si>
    <t>31.29M</t>
  </si>
  <si>
    <t>484.10k</t>
  </si>
  <si>
    <t>6.02M</t>
  </si>
  <si>
    <t>28.86M</t>
  </si>
  <si>
    <t>11.11M</t>
  </si>
  <si>
    <t>8.20k</t>
  </si>
  <si>
    <t>2.10M</t>
  </si>
  <si>
    <t>19.70M</t>
  </si>
  <si>
    <t>19.15M</t>
  </si>
  <si>
    <t>427.10k</t>
  </si>
  <si>
    <t>2.16M</t>
  </si>
  <si>
    <t>1.42M</t>
  </si>
  <si>
    <t>4.10M</t>
  </si>
  <si>
    <t>382.60k</t>
  </si>
  <si>
    <t>730.30k</t>
  </si>
  <si>
    <t>4.01M</t>
  </si>
  <si>
    <t>538.60k</t>
  </si>
  <si>
    <t>5.39M</t>
  </si>
  <si>
    <t>104.22k</t>
  </si>
  <si>
    <t>3.63M</t>
  </si>
  <si>
    <t>377.00k</t>
  </si>
  <si>
    <t>18.73M</t>
  </si>
  <si>
    <t>947.40k</t>
  </si>
  <si>
    <t>464.10k</t>
  </si>
  <si>
    <t>1.29M</t>
  </si>
  <si>
    <t>396.20k</t>
  </si>
  <si>
    <t>597.90k</t>
  </si>
  <si>
    <t>4.81M</t>
  </si>
  <si>
    <t>146.00k</t>
  </si>
  <si>
    <t>147.30k</t>
  </si>
  <si>
    <t>1.83M</t>
  </si>
  <si>
    <t>509.50k</t>
  </si>
  <si>
    <t>101.70k</t>
  </si>
  <si>
    <t>122.70k</t>
  </si>
  <si>
    <t>184.10k</t>
  </si>
  <si>
    <t>220.80k</t>
  </si>
  <si>
    <t>155.00k</t>
  </si>
  <si>
    <t>298.90k</t>
  </si>
  <si>
    <t>30.60k</t>
  </si>
  <si>
    <t>29.10k</t>
  </si>
  <si>
    <t>3.20k</t>
  </si>
  <si>
    <t>1.32M</t>
  </si>
  <si>
    <t>2.82M</t>
  </si>
  <si>
    <t>2.83M</t>
  </si>
  <si>
    <t>7.42M</t>
  </si>
  <si>
    <t>13.12M</t>
  </si>
  <si>
    <t>105.35M</t>
  </si>
  <si>
    <t>55.38M</t>
  </si>
  <si>
    <t>40.51M</t>
  </si>
  <si>
    <t>70.43M</t>
  </si>
  <si>
    <t>58.60M</t>
  </si>
  <si>
    <t>4.66M</t>
  </si>
  <si>
    <t>61.31M</t>
  </si>
  <si>
    <t>12.96M</t>
  </si>
  <si>
    <t>36.30M</t>
  </si>
  <si>
    <t>11.50M</t>
  </si>
  <si>
    <t>5.15M</t>
  </si>
  <si>
    <t>16.80M</t>
  </si>
  <si>
    <t>20.48M</t>
  </si>
  <si>
    <t>16.83M</t>
  </si>
  <si>
    <t>24.64M</t>
  </si>
  <si>
    <t>20.45M</t>
  </si>
  <si>
    <t>2.53M</t>
  </si>
  <si>
    <t>24.99M</t>
  </si>
  <si>
    <t>49.60M</t>
  </si>
  <si>
    <t>55.19M</t>
  </si>
  <si>
    <t>31.63M</t>
  </si>
  <si>
    <t>4.65M</t>
  </si>
  <si>
    <t>3.02M</t>
  </si>
  <si>
    <t>2.50M</t>
  </si>
  <si>
    <t>6.49M</t>
  </si>
  <si>
    <t>87.06M</t>
  </si>
  <si>
    <t>7.44M</t>
  </si>
  <si>
    <t>1.21M</t>
  </si>
  <si>
    <t>2.70M</t>
  </si>
  <si>
    <t>6.23M</t>
  </si>
  <si>
    <t>672.40k</t>
  </si>
  <si>
    <t>5.42M</t>
  </si>
  <si>
    <t>1.67M</t>
  </si>
  <si>
    <t>478.30k</t>
  </si>
  <si>
    <t>47.10k</t>
  </si>
  <si>
    <t>3.52M</t>
  </si>
  <si>
    <t>859.40k</t>
  </si>
  <si>
    <t>12.20k</t>
  </si>
  <si>
    <t>4.44M</t>
  </si>
  <si>
    <t>1.78M</t>
  </si>
  <si>
    <t>7.10k</t>
  </si>
  <si>
    <t>144.50k</t>
  </si>
  <si>
    <t>123.30k</t>
  </si>
  <si>
    <t>170.10k</t>
  </si>
  <si>
    <t>7.75M</t>
  </si>
  <si>
    <t>56.80k</t>
  </si>
  <si>
    <t>7.50k</t>
  </si>
  <si>
    <t>102.40k</t>
  </si>
  <si>
    <t>36.80k</t>
  </si>
  <si>
    <t>734.40k</t>
  </si>
  <si>
    <t>8.14M</t>
  </si>
  <si>
    <t>96.80k</t>
  </si>
  <si>
    <t>2.90M</t>
  </si>
  <si>
    <t>782.00k</t>
  </si>
  <si>
    <t>20.20k</t>
  </si>
  <si>
    <t>SURYA CITRA MEDIA PT TBK</t>
  </si>
  <si>
    <t>TELKOM INDONESIA PERSERO TBK</t>
  </si>
  <si>
    <t>MAHAKA RADIO INTEGRA TBK PT</t>
  </si>
  <si>
    <t>MEDIA NUSANTARA CITRA TBK PT</t>
  </si>
  <si>
    <t>LINK NET TBK PT</t>
  </si>
  <si>
    <t>GLOBAL MEDIACOM TBK PT</t>
  </si>
  <si>
    <t>MNC INVESTAMA TBK PT</t>
  </si>
  <si>
    <t>INDOSAT TBK PT</t>
  </si>
  <si>
    <t>XL AXIATA TBK PT</t>
  </si>
  <si>
    <t>ELANG MAHKOTA TEKNOLOGI TBK</t>
  </si>
  <si>
    <t>MNC SKY VISION TBK PT</t>
  </si>
  <si>
    <t>MNC VISION NETWORKS TBK PT</t>
  </si>
  <si>
    <t>INTERMEDIA CAPITAL TBK PT</t>
  </si>
  <si>
    <t>VISI MEDIA ASIA TBK PT</t>
  </si>
  <si>
    <t>MNC STUDIOS INTERNATIONAL TB</t>
  </si>
  <si>
    <t>MITRA KOMUNIKASI NUSANTARA T</t>
  </si>
  <si>
    <t>MAHAKA MEDIA TBK PT</t>
  </si>
  <si>
    <t>RATU PRABU ENERGI TBK PT</t>
  </si>
  <si>
    <t>ARKADIA DIGITAL MEDIA PT</t>
  </si>
  <si>
    <t>JASNITA TELEKOMINDO TBK PT</t>
  </si>
  <si>
    <t>DIGITAL MEDIATAMA MAXIMA TBK</t>
  </si>
  <si>
    <t>NFC INDONESIA TBK PT</t>
  </si>
  <si>
    <t>YELOOO INTEGRA DATANET TBK P</t>
  </si>
  <si>
    <t>BAKRIE TELECOM TBK PT</t>
  </si>
  <si>
    <t>TEMPO INTI MEDIA TBK PT</t>
  </si>
  <si>
    <t>MD PICTURES TBK PT</t>
  </si>
  <si>
    <t>FORTUNE INDONESIA TBK PT</t>
  </si>
  <si>
    <t>TANAH LAUT TBK PT</t>
  </si>
  <si>
    <t>STAR PACIFIC TBK PT</t>
  </si>
  <si>
    <t>FIRST MEDIA TBK PT</t>
  </si>
  <si>
    <t>TIPHONE MOBILE INDONESIA TBK</t>
  </si>
  <si>
    <t>SMARTFREN TELECOM TBK PT</t>
  </si>
  <si>
    <t>21.18T</t>
  </si>
  <si>
    <t>14.08T</t>
  </si>
  <si>
    <t>10.08T</t>
  </si>
  <si>
    <t>9.80T</t>
  </si>
  <si>
    <t>7.18T</t>
  </si>
  <si>
    <t>6.94T</t>
  </si>
  <si>
    <t>6.68T</t>
  </si>
  <si>
    <t>5.98T</t>
  </si>
  <si>
    <t>5.20T</t>
  </si>
  <si>
    <t>4.58T</t>
  </si>
  <si>
    <t>4.33T</t>
  </si>
  <si>
    <t>4.16T</t>
  </si>
  <si>
    <t>3.56T</t>
  </si>
  <si>
    <t>3.45T</t>
  </si>
  <si>
    <t>2.78T</t>
  </si>
  <si>
    <t>2.52T</t>
  </si>
  <si>
    <t>2.36T</t>
  </si>
  <si>
    <t>2.25T</t>
  </si>
  <si>
    <t>2.23T</t>
  </si>
  <si>
    <t>2.21T</t>
  </si>
  <si>
    <t>2.16T</t>
  </si>
  <si>
    <t>2.10T</t>
  </si>
  <si>
    <t>2.02T</t>
  </si>
  <si>
    <t>1.93T</t>
  </si>
  <si>
    <t>1.58T</t>
  </si>
  <si>
    <t>1.55T</t>
  </si>
  <si>
    <t>1.47T</t>
  </si>
  <si>
    <t>1.39T</t>
  </si>
  <si>
    <t>1.32T</t>
  </si>
  <si>
    <t>1.30T</t>
  </si>
  <si>
    <t>1.25T</t>
  </si>
  <si>
    <t>1.24T</t>
  </si>
  <si>
    <t>1.19T</t>
  </si>
  <si>
    <t>1.15T</t>
  </si>
  <si>
    <t>1.10T</t>
  </si>
  <si>
    <t>1.07T</t>
  </si>
  <si>
    <t>1.03T</t>
  </si>
  <si>
    <t>983.56B</t>
  </si>
  <si>
    <t>972.14B</t>
  </si>
  <si>
    <t>971.89B</t>
  </si>
  <si>
    <t>966.39B</t>
  </si>
  <si>
    <t>939.71B</t>
  </si>
  <si>
    <t>906.97B</t>
  </si>
  <si>
    <t>865.21B</t>
  </si>
  <si>
    <t>864.67B</t>
  </si>
  <si>
    <t>779.11B</t>
  </si>
  <si>
    <t>757.05B</t>
  </si>
  <si>
    <t>727.48B</t>
  </si>
  <si>
    <t>723.67B</t>
  </si>
  <si>
    <t>707.50B</t>
  </si>
  <si>
    <t>694.80B</t>
  </si>
  <si>
    <t>684.33B</t>
  </si>
  <si>
    <t>674.20B</t>
  </si>
  <si>
    <t>659.08B</t>
  </si>
  <si>
    <t>651.62B</t>
  </si>
  <si>
    <t>597.02B</t>
  </si>
  <si>
    <t>590.06B</t>
  </si>
  <si>
    <t>582.84B</t>
  </si>
  <si>
    <t>564.55B</t>
  </si>
  <si>
    <t>550.52B</t>
  </si>
  <si>
    <t>534.56B</t>
  </si>
  <si>
    <t>527.09B</t>
  </si>
  <si>
    <t>522.53B</t>
  </si>
  <si>
    <t>500.25B</t>
  </si>
  <si>
    <t>498.28B</t>
  </si>
  <si>
    <t>491.97B</t>
  </si>
  <si>
    <t>491.66B</t>
  </si>
  <si>
    <t>478.24B</t>
  </si>
  <si>
    <t>475.76B</t>
  </si>
  <si>
    <t>462.66B</t>
  </si>
  <si>
    <t>443.80B</t>
  </si>
  <si>
    <t>440.12B</t>
  </si>
  <si>
    <t>434.41B</t>
  </si>
  <si>
    <t>433.89B</t>
  </si>
  <si>
    <t>416.47B</t>
  </si>
  <si>
    <t>415.85B</t>
  </si>
  <si>
    <t>399.23B</t>
  </si>
  <si>
    <t>394.38B</t>
  </si>
  <si>
    <t>392.38B</t>
  </si>
  <si>
    <t>390.07B</t>
  </si>
  <si>
    <t>383.48B</t>
  </si>
  <si>
    <t>378.49B</t>
  </si>
  <si>
    <t>362.85B</t>
  </si>
  <si>
    <t>360.91B</t>
  </si>
  <si>
    <t>343.56B</t>
  </si>
  <si>
    <t>340.08B</t>
  </si>
  <si>
    <t>337.34B</t>
  </si>
  <si>
    <t>334.79B</t>
  </si>
  <si>
    <t>333.04B</t>
  </si>
  <si>
    <t>329.12B</t>
  </si>
  <si>
    <t>325.92B</t>
  </si>
  <si>
    <t>323.12B</t>
  </si>
  <si>
    <t>307.22B</t>
  </si>
  <si>
    <t>307.08B</t>
  </si>
  <si>
    <t>305.80B</t>
  </si>
  <si>
    <t>303.91B</t>
  </si>
  <si>
    <t>300.46B</t>
  </si>
  <si>
    <t>292.74B</t>
  </si>
  <si>
    <t>291.55B</t>
  </si>
  <si>
    <t>290.93B</t>
  </si>
  <si>
    <t>288.98B</t>
  </si>
  <si>
    <t>287.74B</t>
  </si>
  <si>
    <t>271.81B</t>
  </si>
  <si>
    <t>271.63B</t>
  </si>
  <si>
    <t>271.35B</t>
  </si>
  <si>
    <t>267.99B</t>
  </si>
  <si>
    <t>266.41B</t>
  </si>
  <si>
    <t>264.19B</t>
  </si>
  <si>
    <t>262.70B</t>
  </si>
  <si>
    <t>262.11B</t>
  </si>
  <si>
    <t>259.85B</t>
  </si>
  <si>
    <t>251.61B</t>
  </si>
  <si>
    <t>242.64B</t>
  </si>
  <si>
    <t>239.87B</t>
  </si>
  <si>
    <t>239.19B</t>
  </si>
  <si>
    <t>235.63B</t>
  </si>
  <si>
    <t>228.02B</t>
  </si>
  <si>
    <t>219.35B</t>
  </si>
  <si>
    <t>213.43B</t>
  </si>
  <si>
    <t>208.74B</t>
  </si>
  <si>
    <t>205.03B</t>
  </si>
  <si>
    <t>194.57B</t>
  </si>
  <si>
    <t>194.25B</t>
  </si>
  <si>
    <t>193.44B</t>
  </si>
  <si>
    <t>187.48B</t>
  </si>
  <si>
    <t>184.37B</t>
  </si>
  <si>
    <t>179.53B</t>
  </si>
  <si>
    <t>168.25B</t>
  </si>
  <si>
    <t>167.45B</t>
  </si>
  <si>
    <t>164.66B</t>
  </si>
  <si>
    <t>162.00B</t>
  </si>
  <si>
    <t>145.96B</t>
  </si>
  <si>
    <t>140.22B</t>
  </si>
  <si>
    <t>139.63B</t>
  </si>
  <si>
    <t>139.05B</t>
  </si>
  <si>
    <t>138.78B</t>
  </si>
  <si>
    <t>138.74B</t>
  </si>
  <si>
    <t>134.27B</t>
  </si>
  <si>
    <t>133.97B</t>
  </si>
  <si>
    <t>132.96B</t>
  </si>
  <si>
    <t>132.14B</t>
  </si>
  <si>
    <t>129.11B</t>
  </si>
  <si>
    <t>125.32B</t>
  </si>
  <si>
    <t>123.85B</t>
  </si>
  <si>
    <t>122.79B</t>
  </si>
  <si>
    <t>122.66B</t>
  </si>
  <si>
    <t>119.25B</t>
  </si>
  <si>
    <t>119.16B</t>
  </si>
  <si>
    <t>119.13B</t>
  </si>
  <si>
    <t>114.68B</t>
  </si>
  <si>
    <t>114.62B</t>
  </si>
  <si>
    <t>112.69B</t>
  </si>
  <si>
    <t>111.21B</t>
  </si>
  <si>
    <t>111.12B</t>
  </si>
  <si>
    <t>110.24B</t>
  </si>
  <si>
    <t>108.55B</t>
  </si>
  <si>
    <t>107.94B</t>
  </si>
  <si>
    <t>105.40B</t>
  </si>
  <si>
    <t>104.53B</t>
  </si>
  <si>
    <t>101.89B</t>
  </si>
  <si>
    <t>98.96B</t>
  </si>
  <si>
    <t>98.26B</t>
  </si>
  <si>
    <t>98.16B</t>
  </si>
  <si>
    <t>95.62B</t>
  </si>
  <si>
    <t>90.65B</t>
  </si>
  <si>
    <t>90.04B</t>
  </si>
  <si>
    <t>89.99B</t>
  </si>
  <si>
    <t>89.52B</t>
  </si>
  <si>
    <t>89.20B</t>
  </si>
  <si>
    <t>88.85B</t>
  </si>
  <si>
    <t>87.77B</t>
  </si>
  <si>
    <t>87.31B</t>
  </si>
  <si>
    <t>87.28B</t>
  </si>
  <si>
    <t>85.65B</t>
  </si>
  <si>
    <t>85.54B</t>
  </si>
  <si>
    <t>84.49B</t>
  </si>
  <si>
    <t>80.35B</t>
  </si>
  <si>
    <t>80.17B</t>
  </si>
  <si>
    <t>76.62B</t>
  </si>
  <si>
    <t>75.11B</t>
  </si>
  <si>
    <t>70.87B</t>
  </si>
  <si>
    <t>67.48B</t>
  </si>
  <si>
    <t>66.88B</t>
  </si>
  <si>
    <t>64.04B</t>
  </si>
  <si>
    <t>63.69B</t>
  </si>
  <si>
    <t>62.41B</t>
  </si>
  <si>
    <t>53.99B</t>
  </si>
  <si>
    <t>53.30B</t>
  </si>
  <si>
    <t>49.19B</t>
  </si>
  <si>
    <t>47.12B</t>
  </si>
  <si>
    <t>46.11B</t>
  </si>
  <si>
    <t>44.62B</t>
  </si>
  <si>
    <t>43.80B</t>
  </si>
  <si>
    <t>42.99B</t>
  </si>
  <si>
    <t>42.27B</t>
  </si>
  <si>
    <t>41.48B</t>
  </si>
  <si>
    <t>41.05B</t>
  </si>
  <si>
    <t>40.95B</t>
  </si>
  <si>
    <t>40.45B</t>
  </si>
  <si>
    <t>40.33B</t>
  </si>
  <si>
    <t>39.89B</t>
  </si>
  <si>
    <t>39.76B</t>
  </si>
  <si>
    <t>39.74B</t>
  </si>
  <si>
    <t>39.55B</t>
  </si>
  <si>
    <t>39.49B</t>
  </si>
  <si>
    <t>39.26B</t>
  </si>
  <si>
    <t>39.19B</t>
  </si>
  <si>
    <t>38.55B</t>
  </si>
  <si>
    <t>38.26B</t>
  </si>
  <si>
    <t>38.01B</t>
  </si>
  <si>
    <t>37.77B</t>
  </si>
  <si>
    <t>36.71B</t>
  </si>
  <si>
    <t>36.39B</t>
  </si>
  <si>
    <t>34.82B</t>
  </si>
  <si>
    <t>34.71B</t>
  </si>
  <si>
    <t>33.79B</t>
  </si>
  <si>
    <t>33.24B</t>
  </si>
  <si>
    <t>32.98B</t>
  </si>
  <si>
    <t>32.93B</t>
  </si>
  <si>
    <t>31.93B</t>
  </si>
  <si>
    <t>30.97B</t>
  </si>
  <si>
    <t>30.06B</t>
  </si>
  <si>
    <t>28.53B</t>
  </si>
  <si>
    <t>28.02B</t>
  </si>
  <si>
    <t>27.34B</t>
  </si>
  <si>
    <t>27.20B</t>
  </si>
  <si>
    <t>26.80B</t>
  </si>
  <si>
    <t>26.40B</t>
  </si>
  <si>
    <t>26.39B</t>
  </si>
  <si>
    <t>25.79B</t>
  </si>
  <si>
    <t>25.58B</t>
  </si>
  <si>
    <t>25.40B</t>
  </si>
  <si>
    <t>25.24B</t>
  </si>
  <si>
    <t>24.59B</t>
  </si>
  <si>
    <t>24.43B</t>
  </si>
  <si>
    <t>23.77B</t>
  </si>
  <si>
    <t>23.68B</t>
  </si>
  <si>
    <t>22.69B</t>
  </si>
  <si>
    <t>22.00B</t>
  </si>
  <si>
    <t>20.44B</t>
  </si>
  <si>
    <t>19.18B</t>
  </si>
  <si>
    <t>19.14B</t>
  </si>
  <si>
    <t>19.04B</t>
  </si>
  <si>
    <t>18.91B</t>
  </si>
  <si>
    <t>18.47B</t>
  </si>
  <si>
    <t>17.98B</t>
  </si>
  <si>
    <t>17.91B</t>
  </si>
  <si>
    <t>16.98B</t>
  </si>
  <si>
    <t>16.96B</t>
  </si>
  <si>
    <t>16.69B</t>
  </si>
  <si>
    <t>16.54B</t>
  </si>
  <si>
    <t>16.29B</t>
  </si>
  <si>
    <t>15.82B</t>
  </si>
  <si>
    <t>14.81B</t>
  </si>
  <si>
    <t>13.17B</t>
  </si>
  <si>
    <t>12.67B</t>
  </si>
  <si>
    <t>12.56B</t>
  </si>
  <si>
    <t>11.87B</t>
  </si>
  <si>
    <t>10.47B</t>
  </si>
  <si>
    <t>10.01B</t>
  </si>
  <si>
    <t>9.87B</t>
  </si>
  <si>
    <t>9.79B</t>
  </si>
  <si>
    <t>9.53B</t>
  </si>
  <si>
    <t>9.42B</t>
  </si>
  <si>
    <t>9.26B</t>
  </si>
  <si>
    <t>9.20B</t>
  </si>
  <si>
    <t>9.17B</t>
  </si>
  <si>
    <t>9.12B</t>
  </si>
  <si>
    <t>8.85B</t>
  </si>
  <si>
    <t>8.84B</t>
  </si>
  <si>
    <t>8.75B</t>
  </si>
  <si>
    <t>8.48B</t>
  </si>
  <si>
    <t>8.29B</t>
  </si>
  <si>
    <t>7.08B</t>
  </si>
  <si>
    <t>7.07B</t>
  </si>
  <si>
    <t>7.05B</t>
  </si>
  <si>
    <t>7.03B</t>
  </si>
  <si>
    <t>6.87B</t>
  </si>
  <si>
    <t>6.82B</t>
  </si>
  <si>
    <t>6.60B</t>
  </si>
  <si>
    <t>5.91B</t>
  </si>
  <si>
    <t>5.78B</t>
  </si>
  <si>
    <t>5.44B</t>
  </si>
  <si>
    <t>4.90B</t>
  </si>
  <si>
    <t>4.83B</t>
  </si>
  <si>
    <t>4.73B</t>
  </si>
  <si>
    <t>4.39B</t>
  </si>
  <si>
    <t>4.17B</t>
  </si>
  <si>
    <t>3.72B</t>
  </si>
  <si>
    <t>3.59B</t>
  </si>
  <si>
    <t>3.52B</t>
  </si>
  <si>
    <t>3.49B</t>
  </si>
  <si>
    <t>3.34B</t>
  </si>
  <si>
    <t>3.05B</t>
  </si>
  <si>
    <t>2.97B</t>
  </si>
  <si>
    <t>2.59B</t>
  </si>
  <si>
    <t>2.33B</t>
  </si>
  <si>
    <t>2.14B</t>
  </si>
  <si>
    <t>2.04B</t>
  </si>
  <si>
    <t>2.01B</t>
  </si>
  <si>
    <t>1.64B</t>
  </si>
  <si>
    <t>1.44B</t>
  </si>
  <si>
    <t>1.35B</t>
  </si>
  <si>
    <t>1.31B</t>
  </si>
  <si>
    <t>1.28B</t>
  </si>
  <si>
    <t>1.06B</t>
  </si>
  <si>
    <t>881.14M</t>
  </si>
  <si>
    <t>675.52M</t>
  </si>
  <si>
    <t>668.52M</t>
  </si>
  <si>
    <t>449.93M</t>
  </si>
  <si>
    <t>438.61M</t>
  </si>
  <si>
    <t>331.00M</t>
  </si>
  <si>
    <t>217.24M</t>
  </si>
  <si>
    <t>207.31M</t>
  </si>
  <si>
    <t>189.90M</t>
  </si>
  <si>
    <t>170.70M</t>
  </si>
  <si>
    <t>164.11M</t>
  </si>
  <si>
    <t>151.20M</t>
  </si>
  <si>
    <t>145.22M</t>
  </si>
  <si>
    <t>124.76M</t>
  </si>
  <si>
    <t>117.60M</t>
  </si>
  <si>
    <t>115.15M</t>
  </si>
  <si>
    <t>100.23M</t>
  </si>
  <si>
    <t>92.21M</t>
  </si>
  <si>
    <t>91.55M</t>
  </si>
  <si>
    <t>86.24M</t>
  </si>
  <si>
    <t>72.01M</t>
  </si>
  <si>
    <t>60.67M</t>
  </si>
  <si>
    <t>57.39M</t>
  </si>
  <si>
    <t>50.02M</t>
  </si>
  <si>
    <t>48.48M</t>
  </si>
  <si>
    <t>48.33M</t>
  </si>
  <si>
    <t>47.98M</t>
  </si>
  <si>
    <t>47.04M</t>
  </si>
  <si>
    <t>45.42M</t>
  </si>
  <si>
    <t>36.08M</t>
  </si>
  <si>
    <t>32.65M</t>
  </si>
  <si>
    <t>31.00M</t>
  </si>
  <si>
    <t>30.69M</t>
  </si>
  <si>
    <t>26.69M</t>
  </si>
  <si>
    <t>26.50M</t>
  </si>
  <si>
    <t>24.49M</t>
  </si>
  <si>
    <t>24.45M</t>
  </si>
  <si>
    <t>23.87M</t>
  </si>
  <si>
    <t>23.76M</t>
  </si>
  <si>
    <t>20.67M</t>
  </si>
  <si>
    <t>16.02M</t>
  </si>
  <si>
    <t>15.09M</t>
  </si>
  <si>
    <t>13.94M</t>
  </si>
  <si>
    <t>13.85M</t>
  </si>
  <si>
    <t>13.71M</t>
  </si>
  <si>
    <t>13.66M</t>
  </si>
  <si>
    <t>12.51M</t>
  </si>
  <si>
    <t>12.16M</t>
  </si>
  <si>
    <t>11.31M</t>
  </si>
  <si>
    <t>10.71M</t>
  </si>
  <si>
    <t>8.61M</t>
  </si>
  <si>
    <t>8.44M</t>
  </si>
  <si>
    <t>8.27M</t>
  </si>
  <si>
    <t>8.06M</t>
  </si>
  <si>
    <t>7.96M</t>
  </si>
  <si>
    <t>6.80M</t>
  </si>
  <si>
    <t>5.44M</t>
  </si>
  <si>
    <t>5.40M</t>
  </si>
  <si>
    <t>3.40M</t>
  </si>
  <si>
    <t>3.18M</t>
  </si>
  <si>
    <t>2.51M</t>
  </si>
  <si>
    <t>734.95k</t>
  </si>
  <si>
    <t>218.66k</t>
  </si>
  <si>
    <t>-59.01k</t>
  </si>
  <si>
    <t>-752.87k</t>
  </si>
  <si>
    <t>-1.10M</t>
  </si>
  <si>
    <t>-1.14M</t>
  </si>
  <si>
    <t>-1.40M</t>
  </si>
  <si>
    <t>-1.43M</t>
  </si>
  <si>
    <t>-2.46M</t>
  </si>
  <si>
    <t>-2.68M</t>
  </si>
  <si>
    <t>-5.16M</t>
  </si>
  <si>
    <t>-5.36M</t>
  </si>
  <si>
    <t>-10.88M</t>
  </si>
  <si>
    <t>-12.94M</t>
  </si>
  <si>
    <t>-13.36M</t>
  </si>
  <si>
    <t>-13.97M</t>
  </si>
  <si>
    <t>-15.96M</t>
  </si>
  <si>
    <t>-17.11M</t>
  </si>
  <si>
    <t>-28.28M</t>
  </si>
  <si>
    <t>-28.46M</t>
  </si>
  <si>
    <t>-35.84M</t>
  </si>
  <si>
    <t>-46.76M</t>
  </si>
  <si>
    <t>-50.00M</t>
  </si>
  <si>
    <t>-53.06M</t>
  </si>
  <si>
    <t>-62.14M</t>
  </si>
  <si>
    <t>-70.99M</t>
  </si>
  <si>
    <t>-97.29M</t>
  </si>
  <si>
    <t>-109.43M</t>
  </si>
  <si>
    <t>-206.97M</t>
  </si>
  <si>
    <t>-258.81M</t>
  </si>
  <si>
    <t>-276.76M</t>
  </si>
  <si>
    <t>-287.14M</t>
  </si>
  <si>
    <t>-293.02M</t>
  </si>
  <si>
    <t>-385.48M</t>
  </si>
  <si>
    <t>-450.31M</t>
  </si>
  <si>
    <t>-919.73M</t>
  </si>
  <si>
    <t>-1.14B</t>
  </si>
  <si>
    <t>-1.39B</t>
  </si>
  <si>
    <t>-1.71B</t>
  </si>
  <si>
    <t>-1.76B</t>
  </si>
  <si>
    <t>-1.79B</t>
  </si>
  <si>
    <t>-2.08B</t>
  </si>
  <si>
    <t>-2.92B</t>
  </si>
  <si>
    <t>-2.96B</t>
  </si>
  <si>
    <t>-2.98B</t>
  </si>
  <si>
    <t>-2.99B</t>
  </si>
  <si>
    <t>-3.31B</t>
  </si>
  <si>
    <t>-3.32B</t>
  </si>
  <si>
    <t>-4.20B</t>
  </si>
  <si>
    <t>-4.31B</t>
  </si>
  <si>
    <t>-4.78B</t>
  </si>
  <si>
    <t>-4.84B</t>
  </si>
  <si>
    <t>-4.98B</t>
  </si>
  <si>
    <t>-5.34B</t>
  </si>
  <si>
    <t>-5.54B</t>
  </si>
  <si>
    <t>-5.76B</t>
  </si>
  <si>
    <t>-5.79B</t>
  </si>
  <si>
    <t>-6.13B</t>
  </si>
  <si>
    <t>-6.37B</t>
  </si>
  <si>
    <t>-6.82B</t>
  </si>
  <si>
    <t>-7.13B</t>
  </si>
  <si>
    <t>-7.33B</t>
  </si>
  <si>
    <t>-7.87B</t>
  </si>
  <si>
    <t>-8.29B</t>
  </si>
  <si>
    <t>-8.43B</t>
  </si>
  <si>
    <t>-8.80B</t>
  </si>
  <si>
    <t>-8.94B</t>
  </si>
  <si>
    <t>-9.00B</t>
  </si>
  <si>
    <t>-9.10B</t>
  </si>
  <si>
    <t>-9.34B</t>
  </si>
  <si>
    <t>-9.59B</t>
  </si>
  <si>
    <t>-9.70B</t>
  </si>
  <si>
    <t>-10.28B</t>
  </si>
  <si>
    <t>-10.36B</t>
  </si>
  <si>
    <t>-10.78B</t>
  </si>
  <si>
    <t>-12.23B</t>
  </si>
  <si>
    <t>-13.48B</t>
  </si>
  <si>
    <t>-16.42B</t>
  </si>
  <si>
    <t>-16.53B</t>
  </si>
  <si>
    <t>-16.76B</t>
  </si>
  <si>
    <t>-16.88B</t>
  </si>
  <si>
    <t>-17.68B</t>
  </si>
  <si>
    <t>-19.71B</t>
  </si>
  <si>
    <t>-22.57B</t>
  </si>
  <si>
    <t>-22.87B</t>
  </si>
  <si>
    <t>-24.24B</t>
  </si>
  <si>
    <t>-26.05B</t>
  </si>
  <si>
    <t>-26.52B</t>
  </si>
  <si>
    <t>-26.56B</t>
  </si>
  <si>
    <t>-26.62B</t>
  </si>
  <si>
    <t>-26.87B</t>
  </si>
  <si>
    <t>-26.99B</t>
  </si>
  <si>
    <t>-28.91B</t>
  </si>
  <si>
    <t>-29.95B</t>
  </si>
  <si>
    <t>-30.68B</t>
  </si>
  <si>
    <t>-30.79B</t>
  </si>
  <si>
    <t>-31.04B</t>
  </si>
  <si>
    <t>-31.44B</t>
  </si>
  <si>
    <t>-31.82B</t>
  </si>
  <si>
    <t>-33.83B</t>
  </si>
  <si>
    <t>-34.04B</t>
  </si>
  <si>
    <t>-34.50B</t>
  </si>
  <si>
    <t>-35.52B</t>
  </si>
  <si>
    <t>-41.08B</t>
  </si>
  <si>
    <t>-42.13B</t>
  </si>
  <si>
    <t>-43.95B</t>
  </si>
  <si>
    <t>-46.84B</t>
  </si>
  <si>
    <t>-50.77B</t>
  </si>
  <si>
    <t>-55.02B</t>
  </si>
  <si>
    <t>-56.03B</t>
  </si>
  <si>
    <t>-58.24B</t>
  </si>
  <si>
    <t>-58.45B</t>
  </si>
  <si>
    <t>-61.26B</t>
  </si>
  <si>
    <t>-67.20B</t>
  </si>
  <si>
    <t>-79.25B</t>
  </si>
  <si>
    <t>-80.25B</t>
  </si>
  <si>
    <t>-80.42B</t>
  </si>
  <si>
    <t>-81.20B</t>
  </si>
  <si>
    <t>-84.01B</t>
  </si>
  <si>
    <t>-96.40B</t>
  </si>
  <si>
    <t>-100.05B</t>
  </si>
  <si>
    <t>-101.36B</t>
  </si>
  <si>
    <t>-105.56B</t>
  </si>
  <si>
    <t>-108.62B</t>
  </si>
  <si>
    <t>-117.33B</t>
  </si>
  <si>
    <t>-118.51B</t>
  </si>
  <si>
    <t>-131.24B</t>
  </si>
  <si>
    <t>-131.56B</t>
  </si>
  <si>
    <t>-132.33B</t>
  </si>
  <si>
    <t>-144.14B</t>
  </si>
  <si>
    <t>-144.80B</t>
  </si>
  <si>
    <t>-157.06B</t>
  </si>
  <si>
    <t>-163.32B</t>
  </si>
  <si>
    <t>-174.79B</t>
  </si>
  <si>
    <t>-183.90B</t>
  </si>
  <si>
    <t>-184.96B</t>
  </si>
  <si>
    <t>-193.72B</t>
  </si>
  <si>
    <t>-201.73B</t>
  </si>
  <si>
    <t>-204.59B</t>
  </si>
  <si>
    <t>-217.05B</t>
  </si>
  <si>
    <t>-226.54B</t>
  </si>
  <si>
    <t>-228.32B</t>
  </si>
  <si>
    <t>-240.22B</t>
  </si>
  <si>
    <t>-316.57B</t>
  </si>
  <si>
    <t>-317.26B</t>
  </si>
  <si>
    <t>-323.97B</t>
  </si>
  <si>
    <t>-358.29B</t>
  </si>
  <si>
    <t>-366.06B</t>
  </si>
  <si>
    <t>-374.27B</t>
  </si>
  <si>
    <t>-444.34B</t>
  </si>
  <si>
    <t>-460.38B</t>
  </si>
  <si>
    <t>-481.08B</t>
  </si>
  <si>
    <t>-530.93B</t>
  </si>
  <si>
    <t>-605.19B</t>
  </si>
  <si>
    <t>-740.49B</t>
  </si>
  <si>
    <t>-766.56B</t>
  </si>
  <si>
    <t>-902.06B</t>
  </si>
  <si>
    <t>-1.11T</t>
  </si>
  <si>
    <t>-1.31T</t>
  </si>
  <si>
    <t>-1.79T</t>
  </si>
  <si>
    <t>-1.86T</t>
  </si>
  <si>
    <t>-2.58T</t>
  </si>
  <si>
    <t>-3.03T</t>
  </si>
  <si>
    <t>-7.76T</t>
  </si>
  <si>
    <t>49.43T</t>
  </si>
  <si>
    <t>28.30T</t>
  </si>
  <si>
    <t>15.38T</t>
  </si>
  <si>
    <t>12.04T</t>
  </si>
  <si>
    <t>9.00T</t>
  </si>
  <si>
    <t>6.51T</t>
  </si>
  <si>
    <t>8.20T</t>
  </si>
  <si>
    <t>7.06T</t>
  </si>
  <si>
    <t>8.76T</t>
  </si>
  <si>
    <t>2.75T</t>
  </si>
  <si>
    <t>5.17T</t>
  </si>
  <si>
    <t>4.41T</t>
  </si>
  <si>
    <t>1.77T</t>
  </si>
  <si>
    <t>2.79T</t>
  </si>
  <si>
    <t>3.05T</t>
  </si>
  <si>
    <t>805.14B</t>
  </si>
  <si>
    <t>2.20T</t>
  </si>
  <si>
    <t>2.76T</t>
  </si>
  <si>
    <t>4.36T</t>
  </si>
  <si>
    <t>2.08T</t>
  </si>
  <si>
    <t>1.11T</t>
  </si>
  <si>
    <t>1.98T</t>
  </si>
  <si>
    <t>2.22T</t>
  </si>
  <si>
    <t>2.68T</t>
  </si>
  <si>
    <t>1.54T</t>
  </si>
  <si>
    <t>-757.33B</t>
  </si>
  <si>
    <t>2.26T</t>
  </si>
  <si>
    <t>747.62B</t>
  </si>
  <si>
    <t>1.41T</t>
  </si>
  <si>
    <t>1.33T</t>
  </si>
  <si>
    <t>876.44B</t>
  </si>
  <si>
    <t>1.04T</t>
  </si>
  <si>
    <t>1.26T</t>
  </si>
  <si>
    <t>1.70T</t>
  </si>
  <si>
    <t>818.46B</t>
  </si>
  <si>
    <t>-349.08B</t>
  </si>
  <si>
    <t>799.42B</t>
  </si>
  <si>
    <t>534.33B</t>
  </si>
  <si>
    <t>593.55B</t>
  </si>
  <si>
    <t>-55.80B</t>
  </si>
  <si>
    <t>427.13B</t>
  </si>
  <si>
    <t>769.75B</t>
  </si>
  <si>
    <t>851.58B</t>
  </si>
  <si>
    <t>505.58B</t>
  </si>
  <si>
    <t>1.22T</t>
  </si>
  <si>
    <t>779.15B</t>
  </si>
  <si>
    <t>88.32B</t>
  </si>
  <si>
    <t>685.29B</t>
  </si>
  <si>
    <t>1.31T</t>
  </si>
  <si>
    <t>907.46B</t>
  </si>
  <si>
    <t>682.22B</t>
  </si>
  <si>
    <t>-581.73B</t>
  </si>
  <si>
    <t>466.86B</t>
  </si>
  <si>
    <t>446.03B</t>
  </si>
  <si>
    <t>-115.54B</t>
  </si>
  <si>
    <t>832.96B</t>
  </si>
  <si>
    <t>224.41B</t>
  </si>
  <si>
    <t>589.99B</t>
  </si>
  <si>
    <t>-70.25B</t>
  </si>
  <si>
    <t>-142.53B</t>
  </si>
  <si>
    <t>237.18B</t>
  </si>
  <si>
    <t>690.36B</t>
  </si>
  <si>
    <t>544.78B</t>
  </si>
  <si>
    <t>-1.04T</t>
  </si>
  <si>
    <t>589.18B</t>
  </si>
  <si>
    <t>640.70B</t>
  </si>
  <si>
    <t>1.21T</t>
  </si>
  <si>
    <t>320.00B</t>
  </si>
  <si>
    <t>-59.29B</t>
  </si>
  <si>
    <t>535.56B</t>
  </si>
  <si>
    <t>353.73B</t>
  </si>
  <si>
    <t>542.27B</t>
  </si>
  <si>
    <t>1.09T</t>
  </si>
  <si>
    <t>2.11T</t>
  </si>
  <si>
    <t>129.91B</t>
  </si>
  <si>
    <t>-62.54B</t>
  </si>
  <si>
    <t>406.47B</t>
  </si>
  <si>
    <t>344.83B</t>
  </si>
  <si>
    <t>465.08B</t>
  </si>
  <si>
    <t>78.75B</t>
  </si>
  <si>
    <t>362.46B</t>
  </si>
  <si>
    <t>303.30B</t>
  </si>
  <si>
    <t>610.29B</t>
  </si>
  <si>
    <t>101.81B</t>
  </si>
  <si>
    <t>299.08B</t>
  </si>
  <si>
    <t>166.02B</t>
  </si>
  <si>
    <t>165.40B</t>
  </si>
  <si>
    <t>280.52B</t>
  </si>
  <si>
    <t>78.58B</t>
  </si>
  <si>
    <t>-145.82B</t>
  </si>
  <si>
    <t>421.34B</t>
  </si>
  <si>
    <t>188.57B</t>
  </si>
  <si>
    <t>307.33B</t>
  </si>
  <si>
    <t>1.92T</t>
  </si>
  <si>
    <t>702.19B</t>
  </si>
  <si>
    <t>-172.58B</t>
  </si>
  <si>
    <t>847.66B</t>
  </si>
  <si>
    <t>69.29B</t>
  </si>
  <si>
    <t>12.18B</t>
  </si>
  <si>
    <t>171.47B</t>
  </si>
  <si>
    <t>-75.39B</t>
  </si>
  <si>
    <t>283.74B</t>
  </si>
  <si>
    <t>131.77B</t>
  </si>
  <si>
    <t>363.71B</t>
  </si>
  <si>
    <t>-3.43T</t>
  </si>
  <si>
    <t>791.84B</t>
  </si>
  <si>
    <t>342.20B</t>
  </si>
  <si>
    <t>265.89B</t>
  </si>
  <si>
    <t>213.64B</t>
  </si>
  <si>
    <t>225.78B</t>
  </si>
  <si>
    <t>229.41B</t>
  </si>
  <si>
    <t>244.57B</t>
  </si>
  <si>
    <t>504.27B</t>
  </si>
  <si>
    <t>388.35B</t>
  </si>
  <si>
    <t>32.64B</t>
  </si>
  <si>
    <t>226.70B</t>
  </si>
  <si>
    <t>590.51B</t>
  </si>
  <si>
    <t>227.83B</t>
  </si>
  <si>
    <t>68.69B</t>
  </si>
  <si>
    <t>320.25B</t>
  </si>
  <si>
    <t>230.74B</t>
  </si>
  <si>
    <t>85.95B</t>
  </si>
  <si>
    <t>-102.68B</t>
  </si>
  <si>
    <t>102.04B</t>
  </si>
  <si>
    <t>301.24B</t>
  </si>
  <si>
    <t>20.61B</t>
  </si>
  <si>
    <t>-21.00B</t>
  </si>
  <si>
    <t>224.10B</t>
  </si>
  <si>
    <t>52.54B</t>
  </si>
  <si>
    <t>484.85B</t>
  </si>
  <si>
    <t>-538.24B</t>
  </si>
  <si>
    <t>-160.43B</t>
  </si>
  <si>
    <t>196.72B</t>
  </si>
  <si>
    <t>140.74B</t>
  </si>
  <si>
    <t>190.61B</t>
  </si>
  <si>
    <t>105.60B</t>
  </si>
  <si>
    <t>217.46B</t>
  </si>
  <si>
    <t>213.73B</t>
  </si>
  <si>
    <t>178.15B</t>
  </si>
  <si>
    <t>66.26B</t>
  </si>
  <si>
    <t>108.10B</t>
  </si>
  <si>
    <t>112.42B</t>
  </si>
  <si>
    <t>93.47B</t>
  </si>
  <si>
    <t>87.20B</t>
  </si>
  <si>
    <t>4.84B</t>
  </si>
  <si>
    <t>129.67B</t>
  </si>
  <si>
    <t>93.65B</t>
  </si>
  <si>
    <t>222.22B</t>
  </si>
  <si>
    <t>219.05B</t>
  </si>
  <si>
    <t>129.65B</t>
  </si>
  <si>
    <t>351.14B</t>
  </si>
  <si>
    <t>-178.55B</t>
  </si>
  <si>
    <t>-158.46B</t>
  </si>
  <si>
    <t>142.67B</t>
  </si>
  <si>
    <t>-28.01B</t>
  </si>
  <si>
    <t>78.49B</t>
  </si>
  <si>
    <t>157.09B</t>
  </si>
  <si>
    <t>129.12B</t>
  </si>
  <si>
    <t>-145.08B</t>
  </si>
  <si>
    <t>245.60B</t>
  </si>
  <si>
    <t>9.77B</t>
  </si>
  <si>
    <t>128.03B</t>
  </si>
  <si>
    <t>147.17B</t>
  </si>
  <si>
    <t>21.82B</t>
  </si>
  <si>
    <t>182.69B</t>
  </si>
  <si>
    <t>-7.95B</t>
  </si>
  <si>
    <t>23.34B</t>
  </si>
  <si>
    <t>183.24B</t>
  </si>
  <si>
    <t>32.69B</t>
  </si>
  <si>
    <t>32.59B</t>
  </si>
  <si>
    <t>51.61B</t>
  </si>
  <si>
    <t>-15.75B</t>
  </si>
  <si>
    <t>-246.47B</t>
  </si>
  <si>
    <t>-9.84B</t>
  </si>
  <si>
    <t>-41.28B</t>
  </si>
  <si>
    <t>-42.19B</t>
  </si>
  <si>
    <t>134.77B</t>
  </si>
  <si>
    <t>144.63B</t>
  </si>
  <si>
    <t>46.70B</t>
  </si>
  <si>
    <t>88.10B</t>
  </si>
  <si>
    <t>71.97B</t>
  </si>
  <si>
    <t>12.93B</t>
  </si>
  <si>
    <t>9.66B</t>
  </si>
  <si>
    <t>-373.37B</t>
  </si>
  <si>
    <t>51.93B</t>
  </si>
  <si>
    <t>-156.12B</t>
  </si>
  <si>
    <t>-425.83B</t>
  </si>
  <si>
    <t>129.92B</t>
  </si>
  <si>
    <t>-17.89B</t>
  </si>
  <si>
    <t>25.55B</t>
  </si>
  <si>
    <t>34.80B</t>
  </si>
  <si>
    <t>549.29B</t>
  </si>
  <si>
    <t>-76.60B</t>
  </si>
  <si>
    <t>93.93B</t>
  </si>
  <si>
    <t>59.82B</t>
  </si>
  <si>
    <t>8.24B</t>
  </si>
  <si>
    <t>33.22B</t>
  </si>
  <si>
    <t>73.08B</t>
  </si>
  <si>
    <t>524.51B</t>
  </si>
  <si>
    <t>49.64B</t>
  </si>
  <si>
    <t>-34.33B</t>
  </si>
  <si>
    <t>36.47B</t>
  </si>
  <si>
    <t>12.71B</t>
  </si>
  <si>
    <t>170.66B</t>
  </si>
  <si>
    <t>-27.16B</t>
  </si>
  <si>
    <t>-47.38B</t>
  </si>
  <si>
    <t>78.78B</t>
  </si>
  <si>
    <t>-7.15B</t>
  </si>
  <si>
    <t>-370.35B</t>
  </si>
  <si>
    <t>18.05B</t>
  </si>
  <si>
    <t>-5.65B</t>
  </si>
  <si>
    <t>61.12B</t>
  </si>
  <si>
    <t>45.98B</t>
  </si>
  <si>
    <t>-16.35B</t>
  </si>
  <si>
    <t>12.74B</t>
  </si>
  <si>
    <t>10.90B</t>
  </si>
  <si>
    <t>4.21B</t>
  </si>
  <si>
    <t>22.22B</t>
  </si>
  <si>
    <t>-12.28B</t>
  </si>
  <si>
    <t>16.92B</t>
  </si>
  <si>
    <t>3.11B</t>
  </si>
  <si>
    <t>-45.47B</t>
  </si>
  <si>
    <t>168.23B</t>
  </si>
  <si>
    <t>-9.46B</t>
  </si>
  <si>
    <t>110.73B</t>
  </si>
  <si>
    <t>208.10B</t>
  </si>
  <si>
    <t>-17.87B</t>
  </si>
  <si>
    <t>6.23B</t>
  </si>
  <si>
    <t>-24.86B</t>
  </si>
  <si>
    <t>-115.20B</t>
  </si>
  <si>
    <t>8.14B</t>
  </si>
  <si>
    <t>39.68B</t>
  </si>
  <si>
    <t>148.77B</t>
  </si>
  <si>
    <t>23.13B</t>
  </si>
  <si>
    <t>5.60B</t>
  </si>
  <si>
    <t>47.68B</t>
  </si>
  <si>
    <t>34.94B</t>
  </si>
  <si>
    <t>-88.03M</t>
  </si>
  <si>
    <t>31.34B</t>
  </si>
  <si>
    <t>804.19M</t>
  </si>
  <si>
    <t>-16.80B</t>
  </si>
  <si>
    <t>10.14B</t>
  </si>
  <si>
    <t>-212.50B</t>
  </si>
  <si>
    <t>-64.80B</t>
  </si>
  <si>
    <t>12.77B</t>
  </si>
  <si>
    <t>27.71B</t>
  </si>
  <si>
    <t>34.05B</t>
  </si>
  <si>
    <t>17.81B</t>
  </si>
  <si>
    <t>41.78B</t>
  </si>
  <si>
    <t>44.38B</t>
  </si>
  <si>
    <t>-22.05B</t>
  </si>
  <si>
    <t>-3.68B</t>
  </si>
  <si>
    <t>240.31B</t>
  </si>
  <si>
    <t>-44.78B</t>
  </si>
  <si>
    <t>-34.80M</t>
  </si>
  <si>
    <t>38.17B</t>
  </si>
  <si>
    <t>13.97B</t>
  </si>
  <si>
    <t>-11.44B</t>
  </si>
  <si>
    <t>20.79B</t>
  </si>
  <si>
    <t>14.97B</t>
  </si>
  <si>
    <t>36.78B</t>
  </si>
  <si>
    <t>36.33B</t>
  </si>
  <si>
    <t>34.59B</t>
  </si>
  <si>
    <t>-55.03B</t>
  </si>
  <si>
    <t>6.70B</t>
  </si>
  <si>
    <t>-11.67B</t>
  </si>
  <si>
    <t>45.86B</t>
  </si>
  <si>
    <t>171.26B</t>
  </si>
  <si>
    <t>224.39B</t>
  </si>
  <si>
    <t>-880.84M</t>
  </si>
  <si>
    <t>20.93B</t>
  </si>
  <si>
    <t>47.82B</t>
  </si>
  <si>
    <t>15.39B</t>
  </si>
  <si>
    <t>3.57B</t>
  </si>
  <si>
    <t>-42.95B</t>
  </si>
  <si>
    <t>-5.93B</t>
  </si>
  <si>
    <t>1.88B</t>
  </si>
  <si>
    <t>3.51B</t>
  </si>
  <si>
    <t>-33.05B</t>
  </si>
  <si>
    <t>-3.43B</t>
  </si>
  <si>
    <t>15.08B</t>
  </si>
  <si>
    <t>-29.05B</t>
  </si>
  <si>
    <t>-111.15B</t>
  </si>
  <si>
    <t>18.45B</t>
  </si>
  <si>
    <t>35.95B</t>
  </si>
  <si>
    <t>2.79B</t>
  </si>
  <si>
    <t>-2.00B</t>
  </si>
  <si>
    <t>-9.91B</t>
  </si>
  <si>
    <t>10.71B</t>
  </si>
  <si>
    <t>5.01B</t>
  </si>
  <si>
    <t>2.57B</t>
  </si>
  <si>
    <t>-12.65B</t>
  </si>
  <si>
    <t>187.74M</t>
  </si>
  <si>
    <t>2.81B</t>
  </si>
  <si>
    <t>2.15B</t>
  </si>
  <si>
    <t>40.32B</t>
  </si>
  <si>
    <t>12.88B</t>
  </si>
  <si>
    <t>-142.43M</t>
  </si>
  <si>
    <t>4.68B</t>
  </si>
  <si>
    <t>31.51B</t>
  </si>
  <si>
    <t>24.36M</t>
  </si>
  <si>
    <t>853.68M</t>
  </si>
  <si>
    <t>-96.05B</t>
  </si>
  <si>
    <t>367.94M</t>
  </si>
  <si>
    <t>341.54M</t>
  </si>
  <si>
    <t>88.01B</t>
  </si>
  <si>
    <t>-958.23M</t>
  </si>
  <si>
    <t>-23.87B</t>
  </si>
  <si>
    <t>162.26M</t>
  </si>
  <si>
    <t>-1.05B</t>
  </si>
  <si>
    <t>665.75M</t>
  </si>
  <si>
    <t>45.72M</t>
  </si>
  <si>
    <t>318.98M</t>
  </si>
  <si>
    <t>329.14M</t>
  </si>
  <si>
    <t>411.94M</t>
  </si>
  <si>
    <t>-55.01M</t>
  </si>
  <si>
    <t>433.09M</t>
  </si>
  <si>
    <t>20.51M</t>
  </si>
  <si>
    <t>9.16B</t>
  </si>
  <si>
    <t>125.44M</t>
  </si>
  <si>
    <t>57.74M</t>
  </si>
  <si>
    <t>61.36M</t>
  </si>
  <si>
    <t>49.53B</t>
  </si>
  <si>
    <t>157.72M</t>
  </si>
  <si>
    <t>37.06B</t>
  </si>
  <si>
    <t>24.12M</t>
  </si>
  <si>
    <t>58.33M</t>
  </si>
  <si>
    <t>26.99M</t>
  </si>
  <si>
    <t>-167.32k</t>
  </si>
  <si>
    <t>70.25M</t>
  </si>
  <si>
    <t>18.69M</t>
  </si>
  <si>
    <t>19.69M</t>
  </si>
  <si>
    <t>5.00M</t>
  </si>
  <si>
    <t>-9.54M</t>
  </si>
  <si>
    <t>24.42M</t>
  </si>
  <si>
    <t>30.98M</t>
  </si>
  <si>
    <t>22.11M</t>
  </si>
  <si>
    <t>11.29M</t>
  </si>
  <si>
    <t>17.68M</t>
  </si>
  <si>
    <t>26.94M</t>
  </si>
  <si>
    <t>99.43M</t>
  </si>
  <si>
    <t>-8.16M</t>
  </si>
  <si>
    <t>18.68M</t>
  </si>
  <si>
    <t>-11.30M</t>
  </si>
  <si>
    <t>17.27M</t>
  </si>
  <si>
    <t>20.54M</t>
  </si>
  <si>
    <t>28.04M</t>
  </si>
  <si>
    <t>18.62M</t>
  </si>
  <si>
    <t>6.90M</t>
  </si>
  <si>
    <t>22.14k</t>
  </si>
  <si>
    <t>148.01M</t>
  </si>
  <si>
    <t>8.38M</t>
  </si>
  <si>
    <t>-7.17M</t>
  </si>
  <si>
    <t>4.79M</t>
  </si>
  <si>
    <t>-28.85M</t>
  </si>
  <si>
    <t>15.78M</t>
  </si>
  <si>
    <t>19.40M</t>
  </si>
  <si>
    <t>1.75M</t>
  </si>
  <si>
    <t>-3.22M</t>
  </si>
  <si>
    <t>1.24M</t>
  </si>
  <si>
    <t>-128.39k</t>
  </si>
  <si>
    <t>-20.55k</t>
  </si>
  <si>
    <t>-17.10B</t>
  </si>
  <si>
    <t>4.87M</t>
  </si>
  <si>
    <t>26.57M</t>
  </si>
  <si>
    <t>278.43k</t>
  </si>
  <si>
    <t>-629.00k</t>
  </si>
  <si>
    <t>23.50M</t>
  </si>
  <si>
    <t>65.69M</t>
  </si>
  <si>
    <t>174.28M</t>
  </si>
  <si>
    <t>-36.42M</t>
  </si>
  <si>
    <t>-126.42M</t>
  </si>
  <si>
    <t>-11.94M</t>
  </si>
  <si>
    <t>17.20M</t>
  </si>
  <si>
    <t>-377.34k</t>
  </si>
  <si>
    <t>119.44M</t>
  </si>
  <si>
    <t>309.07M</t>
  </si>
  <si>
    <t>-21.47M</t>
  </si>
  <si>
    <t>-23.80B</t>
  </si>
  <si>
    <t>-3.59B</t>
  </si>
  <si>
    <t>-127.71M</t>
  </si>
  <si>
    <t>4.71B</t>
  </si>
  <si>
    <t>-1.08B</t>
  </si>
  <si>
    <t>402.68B</t>
  </si>
  <si>
    <t>-982.32M</t>
  </si>
  <si>
    <t>368.42M</t>
  </si>
  <si>
    <t>741.84M</t>
  </si>
  <si>
    <t>7.34B</t>
  </si>
  <si>
    <t>-4.05B</t>
  </si>
  <si>
    <t>34.03B</t>
  </si>
  <si>
    <t>-2.03B</t>
  </si>
  <si>
    <t>-3.37B</t>
  </si>
  <si>
    <t>-3.83B</t>
  </si>
  <si>
    <t>2.18B</t>
  </si>
  <si>
    <t>4.99B</t>
  </si>
  <si>
    <t>6.01B</t>
  </si>
  <si>
    <t>-11.56B</t>
  </si>
  <si>
    <t>-11.61B</t>
  </si>
  <si>
    <t>2.69B</t>
  </si>
  <si>
    <t>1.18B</t>
  </si>
  <si>
    <t>4.57B</t>
  </si>
  <si>
    <t>-5.88B</t>
  </si>
  <si>
    <t>-6.23B</t>
  </si>
  <si>
    <t>1.05B</t>
  </si>
  <si>
    <t>51.89B</t>
  </si>
  <si>
    <t>2.13B</t>
  </si>
  <si>
    <t>4.76B</t>
  </si>
  <si>
    <t>5.90B</t>
  </si>
  <si>
    <t>9.59B</t>
  </si>
  <si>
    <t>-644.34M</t>
  </si>
  <si>
    <t>-59.16B</t>
  </si>
  <si>
    <t>3.82B</t>
  </si>
  <si>
    <t>35.15B</t>
  </si>
  <si>
    <t>-204.69B</t>
  </si>
  <si>
    <t>3.44B</t>
  </si>
  <si>
    <t>12.51B</t>
  </si>
  <si>
    <t>-79.17B</t>
  </si>
  <si>
    <t>-13.37B</t>
  </si>
  <si>
    <t>-36.97B</t>
  </si>
  <si>
    <t>22.42B</t>
  </si>
  <si>
    <t>-4.52B</t>
  </si>
  <si>
    <t>-2.76B</t>
  </si>
  <si>
    <t>-9.79B</t>
  </si>
  <si>
    <t>-5.48B</t>
  </si>
  <si>
    <t>-8.77B</t>
  </si>
  <si>
    <t>-202.03B</t>
  </si>
  <si>
    <t>-78.40B</t>
  </si>
  <si>
    <t>-26.90B</t>
  </si>
  <si>
    <t>-17.94B</t>
  </si>
  <si>
    <t>-27.11B</t>
  </si>
  <si>
    <t>-148.21B</t>
  </si>
  <si>
    <t>2.43B</t>
  </si>
  <si>
    <t>-37.60B</t>
  </si>
  <si>
    <t>-8.53B</t>
  </si>
  <si>
    <t>-35.02B</t>
  </si>
  <si>
    <t>-8.38B</t>
  </si>
  <si>
    <t>-54.37B</t>
  </si>
  <si>
    <t>126.68B</t>
  </si>
  <si>
    <t>-2.83B</t>
  </si>
  <si>
    <t>1.03B</t>
  </si>
  <si>
    <t>-77.67B</t>
  </si>
  <si>
    <t>-20.72B</t>
  </si>
  <si>
    <t>-35.85B</t>
  </si>
  <si>
    <t>-16.75B</t>
  </si>
  <si>
    <t>55.43B</t>
  </si>
  <si>
    <t>-18.71B</t>
  </si>
  <si>
    <t>30.66B</t>
  </si>
  <si>
    <t>-99.82B</t>
  </si>
  <si>
    <t>-6.16B</t>
  </si>
  <si>
    <t>-98.66B</t>
  </si>
  <si>
    <t>47.50B</t>
  </si>
  <si>
    <t>46.14B</t>
  </si>
  <si>
    <t>-6.80B</t>
  </si>
  <si>
    <t>-8.39B</t>
  </si>
  <si>
    <t>19.99B</t>
  </si>
  <si>
    <t>15.84B</t>
  </si>
  <si>
    <t>5.31B</t>
  </si>
  <si>
    <t>-354.66M</t>
  </si>
  <si>
    <t>-28.16B</t>
  </si>
  <si>
    <t>23.70B</t>
  </si>
  <si>
    <t>54.35B</t>
  </si>
  <si>
    <t>-24.61B</t>
  </si>
  <si>
    <t>-3.24B</t>
  </si>
  <si>
    <t>556.14B</t>
  </si>
  <si>
    <t>74.56B</t>
  </si>
  <si>
    <t>-21.29B</t>
  </si>
  <si>
    <t>-98.97B</t>
  </si>
  <si>
    <t>-451.81B</t>
  </si>
  <si>
    <t>-190.70B</t>
  </si>
  <si>
    <t>-498.00B</t>
  </si>
  <si>
    <t>-37.98B</t>
  </si>
  <si>
    <t>-77.58B</t>
  </si>
  <si>
    <t>-74.61B</t>
  </si>
  <si>
    <t>-20.13B</t>
  </si>
  <si>
    <t>-267.50B</t>
  </si>
  <si>
    <t>10.10B</t>
  </si>
  <si>
    <t>-283.36B</t>
  </si>
  <si>
    <t>97.45B</t>
  </si>
  <si>
    <t>-12.05B</t>
  </si>
  <si>
    <t>54.78B</t>
  </si>
  <si>
    <t>59.85B</t>
  </si>
  <si>
    <t>-14.00B</t>
  </si>
  <si>
    <t>-156.35B</t>
  </si>
  <si>
    <t>574.25B</t>
  </si>
  <si>
    <t>67.55B</t>
  </si>
  <si>
    <t>41.46B</t>
  </si>
  <si>
    <t>-157.26B</t>
  </si>
  <si>
    <t>123.04B</t>
  </si>
  <si>
    <t>45.12B</t>
  </si>
  <si>
    <t>-1.21T</t>
  </si>
  <si>
    <t>636.51B</t>
  </si>
  <si>
    <t>-209.67B</t>
  </si>
  <si>
    <t>578.55B</t>
  </si>
  <si>
    <t>147.59B</t>
  </si>
  <si>
    <t>-140.99B</t>
  </si>
  <si>
    <t>-4.47T</t>
  </si>
  <si>
    <t>-1.33T</t>
  </si>
  <si>
    <t>743.43B</t>
  </si>
  <si>
    <t>-340.68B</t>
  </si>
  <si>
    <t>57.88B</t>
  </si>
  <si>
    <t>436.35B</t>
  </si>
  <si>
    <t>-69.20B</t>
  </si>
  <si>
    <t>4.61T</t>
  </si>
  <si>
    <t>966.46B</t>
  </si>
  <si>
    <t>-686.74B</t>
  </si>
  <si>
    <t>-502.38B</t>
  </si>
  <si>
    <t>1.89T</t>
  </si>
  <si>
    <t>2.35T</t>
  </si>
  <si>
    <t>-1.13T</t>
  </si>
  <si>
    <t>-3.21T</t>
  </si>
  <si>
    <t>-84.00B</t>
  </si>
  <si>
    <t>-2.41T</t>
  </si>
  <si>
    <t>-18.09T</t>
  </si>
  <si>
    <t>45.68T</t>
  </si>
  <si>
    <t>32.99T</t>
  </si>
  <si>
    <t>20.19T</t>
  </si>
  <si>
    <t>19.14T</t>
  </si>
  <si>
    <t>4.29T</t>
  </si>
  <si>
    <t>5.94T</t>
  </si>
  <si>
    <t>11.22T</t>
  </si>
  <si>
    <t>8.16T</t>
  </si>
  <si>
    <t>8.52T</t>
  </si>
  <si>
    <t>4.46T</t>
  </si>
  <si>
    <t>4.65T</t>
  </si>
  <si>
    <t>4.21T</t>
  </si>
  <si>
    <t>5.04T</t>
  </si>
  <si>
    <t>1.99T</t>
  </si>
  <si>
    <t>3.07T</t>
  </si>
  <si>
    <t>1.97T</t>
  </si>
  <si>
    <t>1.95T</t>
  </si>
  <si>
    <t>1.82T</t>
  </si>
  <si>
    <t>909.83B</t>
  </si>
  <si>
    <t>2.84T</t>
  </si>
  <si>
    <t>1.73T</t>
  </si>
  <si>
    <t>1.16T</t>
  </si>
  <si>
    <t>2.04T</t>
  </si>
  <si>
    <t>7.87T</t>
  </si>
  <si>
    <t>5.44T</t>
  </si>
  <si>
    <t>1.72T</t>
  </si>
  <si>
    <t>1.71T</t>
  </si>
  <si>
    <t>493.08B</t>
  </si>
  <si>
    <t>1.63T</t>
  </si>
  <si>
    <t>911.54B</t>
  </si>
  <si>
    <t>763.18B</t>
  </si>
  <si>
    <t>2.09T</t>
  </si>
  <si>
    <t>663.24B</t>
  </si>
  <si>
    <t>1.01T</t>
  </si>
  <si>
    <t>404.52B</t>
  </si>
  <si>
    <t>-1.58T</t>
  </si>
  <si>
    <t>650.00B</t>
  </si>
  <si>
    <t>695.69B</t>
  </si>
  <si>
    <t>845.65B</t>
  </si>
  <si>
    <t>126.55B</t>
  </si>
  <si>
    <t>120.90B</t>
  </si>
  <si>
    <t>743.20B</t>
  </si>
  <si>
    <t>575.82B</t>
  </si>
  <si>
    <t>787.15B</t>
  </si>
  <si>
    <t>552.92B</t>
  </si>
  <si>
    <t>790.05B</t>
  </si>
  <si>
    <t>357.24B</t>
  </si>
  <si>
    <t>363.34B</t>
  </si>
  <si>
    <t>-681.02B</t>
  </si>
  <si>
    <t>506.07B</t>
  </si>
  <si>
    <t>321.71B</t>
  </si>
  <si>
    <t>-446.24B</t>
  </si>
  <si>
    <t>-534.97B</t>
  </si>
  <si>
    <t>461.97B</t>
  </si>
  <si>
    <t>542.65B</t>
  </si>
  <si>
    <t>125.57B</t>
  </si>
  <si>
    <t>913.36B</t>
  </si>
  <si>
    <t>225.96B</t>
  </si>
  <si>
    <t>663.34B</t>
  </si>
  <si>
    <t>-133.49B</t>
  </si>
  <si>
    <t>-255.47B</t>
  </si>
  <si>
    <t>307.37B</t>
  </si>
  <si>
    <t>280.55B</t>
  </si>
  <si>
    <t>389.09B</t>
  </si>
  <si>
    <t>-235.30B</t>
  </si>
  <si>
    <t>1.05T</t>
  </si>
  <si>
    <t>846.39B</t>
  </si>
  <si>
    <t>903.80B</t>
  </si>
  <si>
    <t>573.64B</t>
  </si>
  <si>
    <t>-171.60B</t>
  </si>
  <si>
    <t>656.58B</t>
  </si>
  <si>
    <t>260.47B</t>
  </si>
  <si>
    <t>506.89B</t>
  </si>
  <si>
    <t>298.34B</t>
  </si>
  <si>
    <t>-80.76B</t>
  </si>
  <si>
    <t>351.60B</t>
  </si>
  <si>
    <t>90.57B</t>
  </si>
  <si>
    <t>371.80B</t>
  </si>
  <si>
    <t>588.63B</t>
  </si>
  <si>
    <t>241.67B</t>
  </si>
  <si>
    <t>101.08B</t>
  </si>
  <si>
    <t>380.24B</t>
  </si>
  <si>
    <t>77.31B</t>
  </si>
  <si>
    <t>18.02B</t>
  </si>
  <si>
    <t>-91.01B</t>
  </si>
  <si>
    <t>216.82B</t>
  </si>
  <si>
    <t>247.75B</t>
  </si>
  <si>
    <t>364.35B</t>
  </si>
  <si>
    <t>215.54B</t>
  </si>
  <si>
    <t>526.46B</t>
  </si>
  <si>
    <t>109.83B</t>
  </si>
  <si>
    <t>356.71B</t>
  </si>
  <si>
    <t>114.66B</t>
  </si>
  <si>
    <t>394.14B</t>
  </si>
  <si>
    <t>-378.93B</t>
  </si>
  <si>
    <t>703.52B</t>
  </si>
  <si>
    <t>582.27B</t>
  </si>
  <si>
    <t>259.13B</t>
  </si>
  <si>
    <t>26.02B</t>
  </si>
  <si>
    <t>32.02B</t>
  </si>
  <si>
    <t>179.79B</t>
  </si>
  <si>
    <t>-488.81B</t>
  </si>
  <si>
    <t>282.13B</t>
  </si>
  <si>
    <t>224.29B</t>
  </si>
  <si>
    <t>193.37B</t>
  </si>
  <si>
    <t>-470.02B</t>
  </si>
  <si>
    <t>651.97B</t>
  </si>
  <si>
    <t>342.49B</t>
  </si>
  <si>
    <t>367.90B</t>
  </si>
  <si>
    <t>291.09B</t>
  </si>
  <si>
    <t>203.64B</t>
  </si>
  <si>
    <t>118.45B</t>
  </si>
  <si>
    <t>228.21B</t>
  </si>
  <si>
    <t>82.49B</t>
  </si>
  <si>
    <t>102.23B</t>
  </si>
  <si>
    <t>195.75B</t>
  </si>
  <si>
    <t>157.42B</t>
  </si>
  <si>
    <t>-170.89B</t>
  </si>
  <si>
    <t>-162.47B</t>
  </si>
  <si>
    <t>67.76B</t>
  </si>
  <si>
    <t>133.73B</t>
  </si>
  <si>
    <t>26.63B</t>
  </si>
  <si>
    <t>-382.62M</t>
  </si>
  <si>
    <t>-110.54B</t>
  </si>
  <si>
    <t>58.41B</t>
  </si>
  <si>
    <t>245.01B</t>
  </si>
  <si>
    <t>43.23B</t>
  </si>
  <si>
    <t>-337.08B</t>
  </si>
  <si>
    <t>-78.26B</t>
  </si>
  <si>
    <t>-12.94B</t>
  </si>
  <si>
    <t>193.10B</t>
  </si>
  <si>
    <t>-2.54T</t>
  </si>
  <si>
    <t>144.84B</t>
  </si>
  <si>
    <t>141.04B</t>
  </si>
  <si>
    <t>273.35B</t>
  </si>
  <si>
    <t>70.18B</t>
  </si>
  <si>
    <t>29.46B</t>
  </si>
  <si>
    <t>311.21B</t>
  </si>
  <si>
    <t>271.77B</t>
  </si>
  <si>
    <t>31.31B</t>
  </si>
  <si>
    <t>-19.76B</t>
  </si>
  <si>
    <t>-455.74B</t>
  </si>
  <si>
    <t>239.83B</t>
  </si>
  <si>
    <t>146.59B</t>
  </si>
  <si>
    <t>122.94B</t>
  </si>
  <si>
    <t>38.83B</t>
  </si>
  <si>
    <t>97.27B</t>
  </si>
  <si>
    <t>190.56B</t>
  </si>
  <si>
    <t>210.56B</t>
  </si>
  <si>
    <t>142.89B</t>
  </si>
  <si>
    <t>320.86B</t>
  </si>
  <si>
    <t>672.28B</t>
  </si>
  <si>
    <t>161.94B</t>
  </si>
  <si>
    <t>35.25B</t>
  </si>
  <si>
    <t>86.17B</t>
  </si>
  <si>
    <t>131.84B</t>
  </si>
  <si>
    <t>54.24B</t>
  </si>
  <si>
    <t>182.55B</t>
  </si>
  <si>
    <t>-87.47B</t>
  </si>
  <si>
    <t>356.76B</t>
  </si>
  <si>
    <t>56.20B</t>
  </si>
  <si>
    <t>154.07B</t>
  </si>
  <si>
    <t>-260.55B</t>
  </si>
  <si>
    <t>-881.17M</t>
  </si>
  <si>
    <t>179.36B</t>
  </si>
  <si>
    <t>29.29B</t>
  </si>
  <si>
    <t>64.47B</t>
  </si>
  <si>
    <t>6.61B</t>
  </si>
  <si>
    <t>5.97B</t>
  </si>
  <si>
    <t>88.56B</t>
  </si>
  <si>
    <t>57.73B</t>
  </si>
  <si>
    <t>136.24B</t>
  </si>
  <si>
    <t>97.96B</t>
  </si>
  <si>
    <t>21.13B</t>
  </si>
  <si>
    <t>-208.94B</t>
  </si>
  <si>
    <t>543.96B</t>
  </si>
  <si>
    <t>36.00B</t>
  </si>
  <si>
    <t>221.66B</t>
  </si>
  <si>
    <t>53.39B</t>
  </si>
  <si>
    <t>7.27B</t>
  </si>
  <si>
    <t>17.89B</t>
  </si>
  <si>
    <t>19.11B</t>
  </si>
  <si>
    <t>8.98B</t>
  </si>
  <si>
    <t>-444.15B</t>
  </si>
  <si>
    <t>-253.90B</t>
  </si>
  <si>
    <t>-308.51B</t>
  </si>
  <si>
    <t>122.90B</t>
  </si>
  <si>
    <t>168.96B</t>
  </si>
  <si>
    <t>-25.59B</t>
  </si>
  <si>
    <t>14.88B</t>
  </si>
  <si>
    <t>-13.78B</t>
  </si>
  <si>
    <t>-103.82B</t>
  </si>
  <si>
    <t>-74.26B</t>
  </si>
  <si>
    <t>13.81B</t>
  </si>
  <si>
    <t>27.58B</t>
  </si>
  <si>
    <t>-9.77B</t>
  </si>
  <si>
    <t>1.41B</t>
  </si>
  <si>
    <t>-25.17B</t>
  </si>
  <si>
    <t>-253.17B</t>
  </si>
  <si>
    <t>63.07B</t>
  </si>
  <si>
    <t>15.45B</t>
  </si>
  <si>
    <t>82.16B</t>
  </si>
  <si>
    <t>202.04B</t>
  </si>
  <si>
    <t>-69.63B</t>
  </si>
  <si>
    <t>-208.06B</t>
  </si>
  <si>
    <t>30.74B</t>
  </si>
  <si>
    <t>151.59B</t>
  </si>
  <si>
    <t>-128.74B</t>
  </si>
  <si>
    <t>-5.25B</t>
  </si>
  <si>
    <t>49.40B</t>
  </si>
  <si>
    <t>47.81B</t>
  </si>
  <si>
    <t>-16.78B</t>
  </si>
  <si>
    <t>11.72B</t>
  </si>
  <si>
    <t>1.43B</t>
  </si>
  <si>
    <t>17.73B</t>
  </si>
  <si>
    <t>35.33B</t>
  </si>
  <si>
    <t>6.17B</t>
  </si>
  <si>
    <t>5.96B</t>
  </si>
  <si>
    <t>-2.13B</t>
  </si>
  <si>
    <t>105.48B</t>
  </si>
  <si>
    <t>-21.34B</t>
  </si>
  <si>
    <t>3.37B</t>
  </si>
  <si>
    <t>-19.69B</t>
  </si>
  <si>
    <t>102.52B</t>
  </si>
  <si>
    <t>7.40B</t>
  </si>
  <si>
    <t>11.59B</t>
  </si>
  <si>
    <t>-41.56B</t>
  </si>
  <si>
    <t>91.35B</t>
  </si>
  <si>
    <t>-126.91B</t>
  </si>
  <si>
    <t>7.72B</t>
  </si>
  <si>
    <t>19.38B</t>
  </si>
  <si>
    <t>-56.35B</t>
  </si>
  <si>
    <t>39.17B</t>
  </si>
  <si>
    <t>29.06B</t>
  </si>
  <si>
    <t>-543.39M</t>
  </si>
  <si>
    <t>-180.88B</t>
  </si>
  <si>
    <t>-10.83B</t>
  </si>
  <si>
    <t>-4.02B</t>
  </si>
  <si>
    <t>10.82B</t>
  </si>
  <si>
    <t>-11.92B</t>
  </si>
  <si>
    <t>53.23B</t>
  </si>
  <si>
    <t>19.91B</t>
  </si>
  <si>
    <t>68.15B</t>
  </si>
  <si>
    <t>-69.56B</t>
  </si>
  <si>
    <t>71.63B</t>
  </si>
  <si>
    <t>160.53B</t>
  </si>
  <si>
    <t>13.00B</t>
  </si>
  <si>
    <t>-29.72B</t>
  </si>
  <si>
    <t>21.58B</t>
  </si>
  <si>
    <t>15.81B</t>
  </si>
  <si>
    <t>-13.30B</t>
  </si>
  <si>
    <t>9.15B</t>
  </si>
  <si>
    <t>36.38B</t>
  </si>
  <si>
    <t>15.89B</t>
  </si>
  <si>
    <t>109.97B</t>
  </si>
  <si>
    <t>23.40B</t>
  </si>
  <si>
    <t>84.03B</t>
  </si>
  <si>
    <t>-21.87B</t>
  </si>
  <si>
    <t>-649.34M</t>
  </si>
  <si>
    <t>70.67B</t>
  </si>
  <si>
    <t>26.45B</t>
  </si>
  <si>
    <t>-70.40B</t>
  </si>
  <si>
    <t>-8.06B</t>
  </si>
  <si>
    <t>11.67B</t>
  </si>
  <si>
    <t>-1.98B</t>
  </si>
  <si>
    <t>1.21B</t>
  </si>
  <si>
    <t>75.71B</t>
  </si>
  <si>
    <t>-19.99B</t>
  </si>
  <si>
    <t>6.76B</t>
  </si>
  <si>
    <t>-1.68B</t>
  </si>
  <si>
    <t>6.59B</t>
  </si>
  <si>
    <t>1.82B</t>
  </si>
  <si>
    <t>15.62B</t>
  </si>
  <si>
    <t>-26.81B</t>
  </si>
  <si>
    <t>49.58B</t>
  </si>
  <si>
    <t>-1.04B</t>
  </si>
  <si>
    <t>-6.73B</t>
  </si>
  <si>
    <t>17.33B</t>
  </si>
  <si>
    <t>3.29B</t>
  </si>
  <si>
    <t>-12.19B</t>
  </si>
  <si>
    <t>-29.57B</t>
  </si>
  <si>
    <t>6.98B</t>
  </si>
  <si>
    <t>5.50B</t>
  </si>
  <si>
    <t>-11.77B</t>
  </si>
  <si>
    <t>-10.75B</t>
  </si>
  <si>
    <t>1.26B</t>
  </si>
  <si>
    <t>14.65B</t>
  </si>
  <si>
    <t>37.84B</t>
  </si>
  <si>
    <t>3.92B</t>
  </si>
  <si>
    <t>-2.21B</t>
  </si>
  <si>
    <t>-54.65B</t>
  </si>
  <si>
    <t>-9.25B</t>
  </si>
  <si>
    <t>-7.98B</t>
  </si>
  <si>
    <t>905.91M</t>
  </si>
  <si>
    <t>-50.40B</t>
  </si>
  <si>
    <t>366.15M</t>
  </si>
  <si>
    <t>553.74M</t>
  </si>
  <si>
    <t>380.84B</t>
  </si>
  <si>
    <t>-11.60B</t>
  </si>
  <si>
    <t>-99.92B</t>
  </si>
  <si>
    <t>173.87M</t>
  </si>
  <si>
    <t>1.13B</t>
  </si>
  <si>
    <t>544.53M</t>
  </si>
  <si>
    <t>40.85M</t>
  </si>
  <si>
    <t>354.90M</t>
  </si>
  <si>
    <t>302.55M</t>
  </si>
  <si>
    <t>9.01B</t>
  </si>
  <si>
    <t>28.98M</t>
  </si>
  <si>
    <t>575.23M</t>
  </si>
  <si>
    <t>76.22M</t>
  </si>
  <si>
    <t>-8.36B</t>
  </si>
  <si>
    <t>93.98M</t>
  </si>
  <si>
    <t>-28.91M</t>
  </si>
  <si>
    <t>48.10M</t>
  </si>
  <si>
    <t>11.34B</t>
  </si>
  <si>
    <t>79.69M</t>
  </si>
  <si>
    <t>135.32B</t>
  </si>
  <si>
    <t>41.73M</t>
  </si>
  <si>
    <t>29.81M</t>
  </si>
  <si>
    <t>28.74M</t>
  </si>
  <si>
    <t>18.07M</t>
  </si>
  <si>
    <t>39.22M</t>
  </si>
  <si>
    <t>16.52M</t>
  </si>
  <si>
    <t>38.23M</t>
  </si>
  <si>
    <t>-73.69M</t>
  </si>
  <si>
    <t>7.49M</t>
  </si>
  <si>
    <t>54.56M</t>
  </si>
  <si>
    <t>3.94M</t>
  </si>
  <si>
    <t>-21.36M</t>
  </si>
  <si>
    <t>-580.49k</t>
  </si>
  <si>
    <t>9.03M</t>
  </si>
  <si>
    <t>84.31M</t>
  </si>
  <si>
    <t>10.04M</t>
  </si>
  <si>
    <t>-1.17M</t>
  </si>
  <si>
    <t>1.87M</t>
  </si>
  <si>
    <t>5.13M</t>
  </si>
  <si>
    <t>31.38M</t>
  </si>
  <si>
    <t>5.94M</t>
  </si>
  <si>
    <t>15.34M</t>
  </si>
  <si>
    <t>-5.23M</t>
  </si>
  <si>
    <t>15.07M</t>
  </si>
  <si>
    <t>7.74M</t>
  </si>
  <si>
    <t>201.15M</t>
  </si>
  <si>
    <t>4.25M</t>
  </si>
  <si>
    <t>2.74M</t>
  </si>
  <si>
    <t>64.51M</t>
  </si>
  <si>
    <t>-3.58M</t>
  </si>
  <si>
    <t>21.33M</t>
  </si>
  <si>
    <t>1.02M</t>
  </si>
  <si>
    <t>4.46M</t>
  </si>
  <si>
    <t>4.55M</t>
  </si>
  <si>
    <t>3.39M</t>
  </si>
  <si>
    <t>-148.88k</t>
  </si>
  <si>
    <t>-29.03B</t>
  </si>
  <si>
    <t>16.08M</t>
  </si>
  <si>
    <t>-4.73M</t>
  </si>
  <si>
    <t>39.70k</t>
  </si>
  <si>
    <t>14.17M</t>
  </si>
  <si>
    <t>44.70M</t>
  </si>
  <si>
    <t>32.41M</t>
  </si>
  <si>
    <t>70.02M</t>
  </si>
  <si>
    <t>-19.86M</t>
  </si>
  <si>
    <t>-34.93M</t>
  </si>
  <si>
    <t>-10.02M</t>
  </si>
  <si>
    <t>-182.43M</t>
  </si>
  <si>
    <t>-1.75M</t>
  </si>
  <si>
    <t>-166.24M</t>
  </si>
  <si>
    <t>5.53B</t>
  </si>
  <si>
    <t>-11.40M</t>
  </si>
  <si>
    <t>17.43B</t>
  </si>
  <si>
    <t>-3.50B</t>
  </si>
  <si>
    <t>-109.82M</t>
  </si>
  <si>
    <t>141.02B</t>
  </si>
  <si>
    <t>-806.52M</t>
  </si>
  <si>
    <t>-531.71M</t>
  </si>
  <si>
    <t>-28.12B</t>
  </si>
  <si>
    <t>-111.69B</t>
  </si>
  <si>
    <t>6.62B</t>
  </si>
  <si>
    <t>-69.23M</t>
  </si>
  <si>
    <t>-67.62M</t>
  </si>
  <si>
    <t>80.48B</t>
  </si>
  <si>
    <t>-61.48B</t>
  </si>
  <si>
    <t>-589.81M</t>
  </si>
  <si>
    <t>-1.59B</t>
  </si>
  <si>
    <t>-18.44B</t>
  </si>
  <si>
    <t>-15.41B</t>
  </si>
  <si>
    <t>841.08M</t>
  </si>
  <si>
    <t>2.21B</t>
  </si>
  <si>
    <t>-19.15B</t>
  </si>
  <si>
    <t>25.56B</t>
  </si>
  <si>
    <t>-94.88B</t>
  </si>
  <si>
    <t>30.00M</t>
  </si>
  <si>
    <t>-5.19B</t>
  </si>
  <si>
    <t>-5.49B</t>
  </si>
  <si>
    <t>-54.96B</t>
  </si>
  <si>
    <t>3.80B</t>
  </si>
  <si>
    <t>-52.48B</t>
  </si>
  <si>
    <t>133.16M</t>
  </si>
  <si>
    <t>247.54M</t>
  </si>
  <si>
    <t>-2.22B</t>
  </si>
  <si>
    <t>-1.55B</t>
  </si>
  <si>
    <t>35.91B</t>
  </si>
  <si>
    <t>-52.06B</t>
  </si>
  <si>
    <t>-8.68B</t>
  </si>
  <si>
    <t>-7.28B</t>
  </si>
  <si>
    <t>13.47B</t>
  </si>
  <si>
    <t>34.45B</t>
  </si>
  <si>
    <t>10.12B</t>
  </si>
  <si>
    <t>67.85B</t>
  </si>
  <si>
    <t>348.86M</t>
  </si>
  <si>
    <t>-26.78B</t>
  </si>
  <si>
    <t>-34.74B</t>
  </si>
  <si>
    <t>-294.88M</t>
  </si>
  <si>
    <t>-33.53B</t>
  </si>
  <si>
    <t>8.79B</t>
  </si>
  <si>
    <t>-70.50B</t>
  </si>
  <si>
    <t>-18.70B</t>
  </si>
  <si>
    <t>-19.11B</t>
  </si>
  <si>
    <t>120.30M</t>
  </si>
  <si>
    <t>-37.90B</t>
  </si>
  <si>
    <t>10.61B</t>
  </si>
  <si>
    <t>-19.43B</t>
  </si>
  <si>
    <t>-31.48B</t>
  </si>
  <si>
    <t>-5.75B</t>
  </si>
  <si>
    <t>-30.78B</t>
  </si>
  <si>
    <t>-21.88B</t>
  </si>
  <si>
    <t>-81.24B</t>
  </si>
  <si>
    <t>39.35B</t>
  </si>
  <si>
    <t>7.39B</t>
  </si>
  <si>
    <t>-2.71B</t>
  </si>
  <si>
    <t>-25.03B</t>
  </si>
  <si>
    <t>116.51B</t>
  </si>
  <si>
    <t>-169.71B</t>
  </si>
  <si>
    <t>8.18B</t>
  </si>
  <si>
    <t>88.91B</t>
  </si>
  <si>
    <t>46.38B</t>
  </si>
  <si>
    <t>-126.98B</t>
  </si>
  <si>
    <t>-203.14B</t>
  </si>
  <si>
    <t>2.51B</t>
  </si>
  <si>
    <t>-22.55B</t>
  </si>
  <si>
    <t>-17.30B</t>
  </si>
  <si>
    <t>-53.63B</t>
  </si>
  <si>
    <t>-49.48B</t>
  </si>
  <si>
    <t>3.58B</t>
  </si>
  <si>
    <t>-315.69B</t>
  </si>
  <si>
    <t>7.85B</t>
  </si>
  <si>
    <t>50.92B</t>
  </si>
  <si>
    <t>167.25B</t>
  </si>
  <si>
    <t>35.41B</t>
  </si>
  <si>
    <t>-1.37B</t>
  </si>
  <si>
    <t>-15.04B</t>
  </si>
  <si>
    <t>-5.59B</t>
  </si>
  <si>
    <t>-31.52B</t>
  </si>
  <si>
    <t>138.64B</t>
  </si>
  <si>
    <t>8.82B</t>
  </si>
  <si>
    <t>632.23B</t>
  </si>
  <si>
    <t>-68.99B</t>
  </si>
  <si>
    <t>-94.14B</t>
  </si>
  <si>
    <t>-63.16B</t>
  </si>
  <si>
    <t>-283.37B</t>
  </si>
  <si>
    <t>-199.10B</t>
  </si>
  <si>
    <t>-290.69B</t>
  </si>
  <si>
    <t>31.65B</t>
  </si>
  <si>
    <t>4.07B</t>
  </si>
  <si>
    <t>-129.39B</t>
  </si>
  <si>
    <t>-17.04B</t>
  </si>
  <si>
    <t>162.09B</t>
  </si>
  <si>
    <t>-94.44B</t>
  </si>
  <si>
    <t>128.41B</t>
  </si>
  <si>
    <t>-716.99B</t>
  </si>
  <si>
    <t>-58.01B</t>
  </si>
  <si>
    <t>135.43B</t>
  </si>
  <si>
    <t>-128.44B</t>
  </si>
  <si>
    <t>27.62B</t>
  </si>
  <si>
    <t>-74.42B</t>
  </si>
  <si>
    <t>1.46T</t>
  </si>
  <si>
    <t>77.92B</t>
  </si>
  <si>
    <t>-414.43B</t>
  </si>
  <si>
    <t>3.32B</t>
  </si>
  <si>
    <t>123.88B</t>
  </si>
  <si>
    <t>-271.90B</t>
  </si>
  <si>
    <t>-989.82B</t>
  </si>
  <si>
    <t>878.80B</t>
  </si>
  <si>
    <t>-774.20B</t>
  </si>
  <si>
    <t>-70.10B</t>
  </si>
  <si>
    <t>-19.38B</t>
  </si>
  <si>
    <t>-3.01T</t>
  </si>
  <si>
    <t>-622.08B</t>
  </si>
  <si>
    <t>-374.76B</t>
  </si>
  <si>
    <t>-58.07B</t>
  </si>
  <si>
    <t>-815.65B</t>
  </si>
  <si>
    <t>143.93B</t>
  </si>
  <si>
    <t>-194.28B</t>
  </si>
  <si>
    <t>1.13T</t>
  </si>
  <si>
    <t>219.34B</t>
  </si>
  <si>
    <t>632.72B</t>
  </si>
  <si>
    <t>3.94T</t>
  </si>
  <si>
    <t>772.85B</t>
  </si>
  <si>
    <t>-1.18T</t>
  </si>
  <si>
    <t>914.89B</t>
  </si>
  <si>
    <t>-66.33B</t>
  </si>
  <si>
    <t>2.88T</t>
  </si>
  <si>
    <t>54.96T</t>
  </si>
  <si>
    <t>21.75T</t>
  </si>
  <si>
    <t>17.15T</t>
  </si>
  <si>
    <t>9.60T</t>
  </si>
  <si>
    <t>10.73T</t>
  </si>
  <si>
    <t>13.34T</t>
  </si>
  <si>
    <t>11.17T</t>
  </si>
  <si>
    <t>8.67T</t>
  </si>
  <si>
    <t>11.44T</t>
  </si>
  <si>
    <t>5.61T</t>
  </si>
  <si>
    <t>7.40T</t>
  </si>
  <si>
    <t>4.03T</t>
  </si>
  <si>
    <t>3.40T</t>
  </si>
  <si>
    <t>3.54T</t>
  </si>
  <si>
    <t>3.23T</t>
  </si>
  <si>
    <t>1.91T</t>
  </si>
  <si>
    <t>1.86T</t>
  </si>
  <si>
    <t>956.63B</t>
  </si>
  <si>
    <t>2.57T</t>
  </si>
  <si>
    <t>1.12T</t>
  </si>
  <si>
    <t>1.68T</t>
  </si>
  <si>
    <t>1.59T</t>
  </si>
  <si>
    <t>1.75T</t>
  </si>
  <si>
    <t>4.30T</t>
  </si>
  <si>
    <t>5.08T</t>
  </si>
  <si>
    <t>2.45T</t>
  </si>
  <si>
    <t>1.20T</t>
  </si>
  <si>
    <t>1.27T</t>
  </si>
  <si>
    <t>2.44T</t>
  </si>
  <si>
    <t>-1.60T</t>
  </si>
  <si>
    <t>739.00B</t>
  </si>
  <si>
    <t>480.29B</t>
  </si>
  <si>
    <t>569.48B</t>
  </si>
  <si>
    <t>209.34B</t>
  </si>
  <si>
    <t>-2.86T</t>
  </si>
  <si>
    <t>443.26B</t>
  </si>
  <si>
    <t>814.32B</t>
  </si>
  <si>
    <t>937.00B</t>
  </si>
  <si>
    <t>-21.60B</t>
  </si>
  <si>
    <t>97.10B</t>
  </si>
  <si>
    <t>894.24B</t>
  </si>
  <si>
    <t>1.08T</t>
  </si>
  <si>
    <t>821.19B</t>
  </si>
  <si>
    <t>2.01T</t>
  </si>
  <si>
    <t>198.94B</t>
  </si>
  <si>
    <t>350.31B</t>
  </si>
  <si>
    <t>3.36T</t>
  </si>
  <si>
    <t>10.74B</t>
  </si>
  <si>
    <t>661.85B</t>
  </si>
  <si>
    <t>605.59B</t>
  </si>
  <si>
    <t>638.66B</t>
  </si>
  <si>
    <t>677.87B</t>
  </si>
  <si>
    <t>346.85B</t>
  </si>
  <si>
    <t>128.28B</t>
  </si>
  <si>
    <t>317.48B</t>
  </si>
  <si>
    <t>501.98B</t>
  </si>
  <si>
    <t>890.02B</t>
  </si>
  <si>
    <t>-268.43B</t>
  </si>
  <si>
    <t>454.18B</t>
  </si>
  <si>
    <t>836.91B</t>
  </si>
  <si>
    <t>490.68B</t>
  </si>
  <si>
    <t>394.82B</t>
  </si>
  <si>
    <t>474.67B</t>
  </si>
  <si>
    <t>493.82B</t>
  </si>
  <si>
    <t>10.77B</t>
  </si>
  <si>
    <t>587.07B</t>
  </si>
  <si>
    <t>284.89B</t>
  </si>
  <si>
    <t>-33.80B</t>
  </si>
  <si>
    <t>297.78B</t>
  </si>
  <si>
    <t>159.36B</t>
  </si>
  <si>
    <t>572.58B</t>
  </si>
  <si>
    <t>521.07B</t>
  </si>
  <si>
    <t>374.52B</t>
  </si>
  <si>
    <t>-495.63B</t>
  </si>
  <si>
    <t>177.35B</t>
  </si>
  <si>
    <t>-45.61B</t>
  </si>
  <si>
    <t>389.51B</t>
  </si>
  <si>
    <t>124.43B</t>
  </si>
  <si>
    <t>413.74B</t>
  </si>
  <si>
    <t>441.04B</t>
  </si>
  <si>
    <t>358.87B</t>
  </si>
  <si>
    <t>277.89B</t>
  </si>
  <si>
    <t>131.68B</t>
  </si>
  <si>
    <t>505.06B</t>
  </si>
  <si>
    <t>674.50B</t>
  </si>
  <si>
    <t>-24.27B</t>
  </si>
  <si>
    <t>287.40B</t>
  </si>
  <si>
    <t>271.14B</t>
  </si>
  <si>
    <t>14.59B</t>
  </si>
  <si>
    <t>406.50B</t>
  </si>
  <si>
    <t>382.84B</t>
  </si>
  <si>
    <t>291.14B</t>
  </si>
  <si>
    <t>112.95B</t>
  </si>
  <si>
    <t>126.57B</t>
  </si>
  <si>
    <t>-244.05B</t>
  </si>
  <si>
    <t>111.26B</t>
  </si>
  <si>
    <t>274.36B</t>
  </si>
  <si>
    <t>312.99B</t>
  </si>
  <si>
    <t>101.65B</t>
  </si>
  <si>
    <t>651.51B</t>
  </si>
  <si>
    <t>112.80B</t>
  </si>
  <si>
    <t>176.95B</t>
  </si>
  <si>
    <t>492.96B</t>
  </si>
  <si>
    <t>-189.30B</t>
  </si>
  <si>
    <t>-1.84T</t>
  </si>
  <si>
    <t>154.81B</t>
  </si>
  <si>
    <t>370.40B</t>
  </si>
  <si>
    <t>394.39B</t>
  </si>
  <si>
    <t>169.49B</t>
  </si>
  <si>
    <t>155.51B</t>
  </si>
  <si>
    <t>272.54B</t>
  </si>
  <si>
    <t>179.82B</t>
  </si>
  <si>
    <t>-234.31B</t>
  </si>
  <si>
    <t>93.84B</t>
  </si>
  <si>
    <t>499.92B</t>
  </si>
  <si>
    <t>136.56B</t>
  </si>
  <si>
    <t>-6.41B</t>
  </si>
  <si>
    <t>-68.37B</t>
  </si>
  <si>
    <t>5.61B</t>
  </si>
  <si>
    <t>916.68B</t>
  </si>
  <si>
    <t>-1.40T</t>
  </si>
  <si>
    <t>94.46B</t>
  </si>
  <si>
    <t>209.71B</t>
  </si>
  <si>
    <t>146.71B</t>
  </si>
  <si>
    <t>452.64B</t>
  </si>
  <si>
    <t>111.54B</t>
  </si>
  <si>
    <t>415.98B</t>
  </si>
  <si>
    <t>472.84B</t>
  </si>
  <si>
    <t>188.40B</t>
  </si>
  <si>
    <t>358.82B</t>
  </si>
  <si>
    <t>100.85B</t>
  </si>
  <si>
    <t>341.82B</t>
  </si>
  <si>
    <t>184.18B</t>
  </si>
  <si>
    <t>93.75B</t>
  </si>
  <si>
    <t>23.76B</t>
  </si>
  <si>
    <t>123.39B</t>
  </si>
  <si>
    <t>69.47B</t>
  </si>
  <si>
    <t>433.25B</t>
  </si>
  <si>
    <t>70.89B</t>
  </si>
  <si>
    <t>143.31B</t>
  </si>
  <si>
    <t>-17.97B</t>
  </si>
  <si>
    <t>201.16B</t>
  </si>
  <si>
    <t>133.43B</t>
  </si>
  <si>
    <t>210.07B</t>
  </si>
  <si>
    <t>329.68B</t>
  </si>
  <si>
    <t>86.77B</t>
  </si>
  <si>
    <t>-59.69B</t>
  </si>
  <si>
    <t>368.99B</t>
  </si>
  <si>
    <t>142.68B</t>
  </si>
  <si>
    <t>149.14B</t>
  </si>
  <si>
    <t>550.46B</t>
  </si>
  <si>
    <t>52.24B</t>
  </si>
  <si>
    <t>-167.88M</t>
  </si>
  <si>
    <t>41.00B</t>
  </si>
  <si>
    <t>-63.31B</t>
  </si>
  <si>
    <t>-60.37B</t>
  </si>
  <si>
    <t>282.33B</t>
  </si>
  <si>
    <t>258.03B</t>
  </si>
  <si>
    <t>115.56B</t>
  </si>
  <si>
    <t>139.17B</t>
  </si>
  <si>
    <t>-184.67B</t>
  </si>
  <si>
    <t>-9.51B</t>
  </si>
  <si>
    <t>99.69B</t>
  </si>
  <si>
    <t>521.57B</t>
  </si>
  <si>
    <t>81.56B</t>
  </si>
  <si>
    <t>257.30B</t>
  </si>
  <si>
    <t>89.44B</t>
  </si>
  <si>
    <t>115.93B</t>
  </si>
  <si>
    <t>-9.76B</t>
  </si>
  <si>
    <t>18.40B</t>
  </si>
  <si>
    <t>-5.16B</t>
  </si>
  <si>
    <t>-253.72B</t>
  </si>
  <si>
    <t>75.67B</t>
  </si>
  <si>
    <t>-134.20B</t>
  </si>
  <si>
    <t>-210.84B</t>
  </si>
  <si>
    <t>-43.89B</t>
  </si>
  <si>
    <t>33.55B</t>
  </si>
  <si>
    <t>98.00B</t>
  </si>
  <si>
    <t>979.83B</t>
  </si>
  <si>
    <t>-45.30B</t>
  </si>
  <si>
    <t>-34.64B</t>
  </si>
  <si>
    <t>1.96B</t>
  </si>
  <si>
    <t>-37.73B</t>
  </si>
  <si>
    <t>359.08B</t>
  </si>
  <si>
    <t>67.52B</t>
  </si>
  <si>
    <t>-70.17B</t>
  </si>
  <si>
    <t>50.06B</t>
  </si>
  <si>
    <t>99.47B</t>
  </si>
  <si>
    <t>252.24B</t>
  </si>
  <si>
    <t>84.82B</t>
  </si>
  <si>
    <t>44.59B</t>
  </si>
  <si>
    <t>75.58B</t>
  </si>
  <si>
    <t>247.61B</t>
  </si>
  <si>
    <t>504.74B</t>
  </si>
  <si>
    <t>10.36B</t>
  </si>
  <si>
    <t>-90.09B</t>
  </si>
  <si>
    <t>282.78B</t>
  </si>
  <si>
    <t>58.70B</t>
  </si>
  <si>
    <t>101.52B</t>
  </si>
  <si>
    <t>2.90B</t>
  </si>
  <si>
    <t>18.52B</t>
  </si>
  <si>
    <t>-27.06B</t>
  </si>
  <si>
    <t>2.98B</t>
  </si>
  <si>
    <t>-6.77B</t>
  </si>
  <si>
    <t>44.33B</t>
  </si>
  <si>
    <t>6.22B</t>
  </si>
  <si>
    <t>21.77B</t>
  </si>
  <si>
    <t>377.70B</t>
  </si>
  <si>
    <t>380.00B</t>
  </si>
  <si>
    <t>-11.40B</t>
  </si>
  <si>
    <t>-45.23B</t>
  </si>
  <si>
    <t>124.11B</t>
  </si>
  <si>
    <t>57.34B</t>
  </si>
  <si>
    <t>105.22B</t>
  </si>
  <si>
    <t>-7.79B</t>
  </si>
  <si>
    <t>23.32B</t>
  </si>
  <si>
    <t>-265.03B</t>
  </si>
  <si>
    <t>-38.47B</t>
  </si>
  <si>
    <t>48.74B</t>
  </si>
  <si>
    <t>581.62M</t>
  </si>
  <si>
    <t>5.84B</t>
  </si>
  <si>
    <t>232.24B</t>
  </si>
  <si>
    <t>27.40B</t>
  </si>
  <si>
    <t>18.15B</t>
  </si>
  <si>
    <t>-6.60B</t>
  </si>
  <si>
    <t>50.56B</t>
  </si>
  <si>
    <t>13.55B</t>
  </si>
  <si>
    <t>-102.18B</t>
  </si>
  <si>
    <t>14.74M</t>
  </si>
  <si>
    <t>63.80B</t>
  </si>
  <si>
    <t>-24.83B</t>
  </si>
  <si>
    <t>11.28B</t>
  </si>
  <si>
    <t>28.51B</t>
  </si>
  <si>
    <t>-55.28B</t>
  </si>
  <si>
    <t>233.26B</t>
  </si>
  <si>
    <t>17.38B</t>
  </si>
  <si>
    <t>4.92B</t>
  </si>
  <si>
    <t>-76.97B</t>
  </si>
  <si>
    <t>27.03B</t>
  </si>
  <si>
    <t>14.34B</t>
  </si>
  <si>
    <t>-49.17B</t>
  </si>
  <si>
    <t>-1.92B</t>
  </si>
  <si>
    <t>6.35B</t>
  </si>
  <si>
    <t>97.69B</t>
  </si>
  <si>
    <t>-1.28B</t>
  </si>
  <si>
    <t>32.66B</t>
  </si>
  <si>
    <t>57.12B</t>
  </si>
  <si>
    <t>14.78B</t>
  </si>
  <si>
    <t>-318.41M</t>
  </si>
  <si>
    <t>96.98B</t>
  </si>
  <si>
    <t>-56.33B</t>
  </si>
  <si>
    <t>-243.21B</t>
  </si>
  <si>
    <t>7.83B</t>
  </si>
  <si>
    <t>17.45B</t>
  </si>
  <si>
    <t>38.43B</t>
  </si>
  <si>
    <t>-5.61B</t>
  </si>
  <si>
    <t>4.43B</t>
  </si>
  <si>
    <t>-195.25B</t>
  </si>
  <si>
    <t>-10.13B</t>
  </si>
  <si>
    <t>-2.45B</t>
  </si>
  <si>
    <t>-9.62B</t>
  </si>
  <si>
    <t>16.75B</t>
  </si>
  <si>
    <t>13.59B</t>
  </si>
  <si>
    <t>-16.74B</t>
  </si>
  <si>
    <t>-1.94B</t>
  </si>
  <si>
    <t>3.66B</t>
  </si>
  <si>
    <t>-5.13B</t>
  </si>
  <si>
    <t>-1.83B</t>
  </si>
  <si>
    <t>21.38B</t>
  </si>
  <si>
    <t>8.07B</t>
  </si>
  <si>
    <t>9.35B</t>
  </si>
  <si>
    <t>-17.07B</t>
  </si>
  <si>
    <t>-25.14B</t>
  </si>
  <si>
    <t>-4.33B</t>
  </si>
  <si>
    <t>55.38B</t>
  </si>
  <si>
    <t>82.13B</t>
  </si>
  <si>
    <t>188.56M</t>
  </si>
  <si>
    <t>208.37M</t>
  </si>
  <si>
    <t>-12.03B</t>
  </si>
  <si>
    <t>-8.18B</t>
  </si>
  <si>
    <t>917.28M</t>
  </si>
  <si>
    <t>-36.88B</t>
  </si>
  <si>
    <t>203.51M</t>
  </si>
  <si>
    <t>473.86M</t>
  </si>
  <si>
    <t>498.71B</t>
  </si>
  <si>
    <t>-48.04B</t>
  </si>
  <si>
    <t>-131.60B</t>
  </si>
  <si>
    <t>135.67M</t>
  </si>
  <si>
    <t>1.19B</t>
  </si>
  <si>
    <t>524.71M</t>
  </si>
  <si>
    <t>159.41M</t>
  </si>
  <si>
    <t>89.46M</t>
  </si>
  <si>
    <t>165.25M</t>
  </si>
  <si>
    <t>513.42M</t>
  </si>
  <si>
    <t>54.46M</t>
  </si>
  <si>
    <t>6.95M</t>
  </si>
  <si>
    <t>-121.68B</t>
  </si>
  <si>
    <t>25.90M</t>
  </si>
  <si>
    <t>43.80M</t>
  </si>
  <si>
    <t>36.79M</t>
  </si>
  <si>
    <t>4.77B</t>
  </si>
  <si>
    <t>105.41M</t>
  </si>
  <si>
    <t>62.21B</t>
  </si>
  <si>
    <t>29.41M</t>
  </si>
  <si>
    <t>24.62M</t>
  </si>
  <si>
    <t>-16.31M</t>
  </si>
  <si>
    <t>51.86M</t>
  </si>
  <si>
    <t>4.33M</t>
  </si>
  <si>
    <t>-114.89M</t>
  </si>
  <si>
    <t>86.06M</t>
  </si>
  <si>
    <t>54.82M</t>
  </si>
  <si>
    <t>32.77M</t>
  </si>
  <si>
    <t>17.33M</t>
  </si>
  <si>
    <t>24.14M</t>
  </si>
  <si>
    <t>2.69M</t>
  </si>
  <si>
    <t>6.10M</t>
  </si>
  <si>
    <t>37.78M</t>
  </si>
  <si>
    <t>35.53M</t>
  </si>
  <si>
    <t>8.26M</t>
  </si>
  <si>
    <t>10.18M</t>
  </si>
  <si>
    <t>9.59M</t>
  </si>
  <si>
    <t>14.25M</t>
  </si>
  <si>
    <t>-29.53M</t>
  </si>
  <si>
    <t>15.69M</t>
  </si>
  <si>
    <t>17.60M</t>
  </si>
  <si>
    <t>-998.91k</t>
  </si>
  <si>
    <t>3.31M</t>
  </si>
  <si>
    <t>136.74M</t>
  </si>
  <si>
    <t>-717.00k</t>
  </si>
  <si>
    <t>5.03M</t>
  </si>
  <si>
    <t>1.31M</t>
  </si>
  <si>
    <t>-4.36M</t>
  </si>
  <si>
    <t>41.00M</t>
  </si>
  <si>
    <t>3.96M</t>
  </si>
  <si>
    <t>4.59M</t>
  </si>
  <si>
    <t>2.64M</t>
  </si>
  <si>
    <t>-176.73k</t>
  </si>
  <si>
    <t>-5.96M</t>
  </si>
  <si>
    <t>-22.98B</t>
  </si>
  <si>
    <t>1.50M</t>
  </si>
  <si>
    <t>-41.32M</t>
  </si>
  <si>
    <t>-4.26M</t>
  </si>
  <si>
    <t>9.94M</t>
  </si>
  <si>
    <t>27.23M</t>
  </si>
  <si>
    <t>95.36M</t>
  </si>
  <si>
    <t>136.32M</t>
  </si>
  <si>
    <t>7.66M</t>
  </si>
  <si>
    <t>12.42M</t>
  </si>
  <si>
    <t>26.96M</t>
  </si>
  <si>
    <t>-3.55M</t>
  </si>
  <si>
    <t>55.85M</t>
  </si>
  <si>
    <t>15.03B</t>
  </si>
  <si>
    <t>-19.36M</t>
  </si>
  <si>
    <t>8.33B</t>
  </si>
  <si>
    <t>-30.08M</t>
  </si>
  <si>
    <t>62.78B</t>
  </si>
  <si>
    <t>3.89B</t>
  </si>
  <si>
    <t>8.15B</t>
  </si>
  <si>
    <t>-168.25B</t>
  </si>
  <si>
    <t>-972.47B</t>
  </si>
  <si>
    <t>168.97M</t>
  </si>
  <si>
    <t>-14.36B</t>
  </si>
  <si>
    <t>56.00B</t>
  </si>
  <si>
    <t>-330.11B</t>
  </si>
  <si>
    <t>4.02B</t>
  </si>
  <si>
    <t>-32.10B</t>
  </si>
  <si>
    <t>624.78M</t>
  </si>
  <si>
    <t>1.12B</t>
  </si>
  <si>
    <t>-2.20T</t>
  </si>
  <si>
    <t>25.03B</t>
  </si>
  <si>
    <t>42.72B</t>
  </si>
  <si>
    <t>610.00M</t>
  </si>
  <si>
    <t>35.87B</t>
  </si>
  <si>
    <t>-55.87B</t>
  </si>
  <si>
    <t>-3.84B</t>
  </si>
  <si>
    <t>14.37B</t>
  </si>
  <si>
    <t>17.19B</t>
  </si>
  <si>
    <t>35.90B</t>
  </si>
  <si>
    <t>9.99B</t>
  </si>
  <si>
    <t>4.97B</t>
  </si>
  <si>
    <t>6.06B</t>
  </si>
  <si>
    <t>18.63B</t>
  </si>
  <si>
    <t>-385.83B</t>
  </si>
  <si>
    <t>-3.10B</t>
  </si>
  <si>
    <t>-31.64B</t>
  </si>
  <si>
    <t>-68.91B</t>
  </si>
  <si>
    <t>-8.15B</t>
  </si>
  <si>
    <t>27.47B</t>
  </si>
  <si>
    <t>-188.54B</t>
  </si>
  <si>
    <t>-13.66B</t>
  </si>
  <si>
    <t>13.01B</t>
  </si>
  <si>
    <t>-12.39B</t>
  </si>
  <si>
    <t>-12.04B</t>
  </si>
  <si>
    <t>29.35B</t>
  </si>
  <si>
    <t>-21.21B</t>
  </si>
  <si>
    <t>145.75B</t>
  </si>
  <si>
    <t>-1.33B</t>
  </si>
  <si>
    <t>4.42B</t>
  </si>
  <si>
    <t>9.46B</t>
  </si>
  <si>
    <t>-158.41M</t>
  </si>
  <si>
    <t>-68.62B</t>
  </si>
  <si>
    <t>-8.82B</t>
  </si>
  <si>
    <t>-12.74B</t>
  </si>
  <si>
    <t>-6.53B</t>
  </si>
  <si>
    <t>57.95B</t>
  </si>
  <si>
    <t>-224.89B</t>
  </si>
  <si>
    <t>17.87B</t>
  </si>
  <si>
    <t>137.45B</t>
  </si>
  <si>
    <t>-2.34B</t>
  </si>
  <si>
    <t>-32.27B</t>
  </si>
  <si>
    <t>223.48B</t>
  </si>
  <si>
    <t>-140.42B</t>
  </si>
  <si>
    <t>-3.01B</t>
  </si>
  <si>
    <t>125.27B</t>
  </si>
  <si>
    <t>-10.97B</t>
  </si>
  <si>
    <t>-25.26B</t>
  </si>
  <si>
    <t>-65.25B</t>
  </si>
  <si>
    <t>11.14B</t>
  </si>
  <si>
    <t>-14.75B</t>
  </si>
  <si>
    <t>-8.23B</t>
  </si>
  <si>
    <t>-93.94B</t>
  </si>
  <si>
    <t>28.23B</t>
  </si>
  <si>
    <t>1.11B</t>
  </si>
  <si>
    <t>-80.90B</t>
  </si>
  <si>
    <t>-15.02B</t>
  </si>
  <si>
    <t>5.94B</t>
  </si>
  <si>
    <t>44.43B</t>
  </si>
  <si>
    <t>75.42B</t>
  </si>
  <si>
    <t>2.48B</t>
  </si>
  <si>
    <t>20.19B</t>
  </si>
  <si>
    <t>17.78B</t>
  </si>
  <si>
    <t>22.44B</t>
  </si>
  <si>
    <t>6.66B</t>
  </si>
  <si>
    <t>-18.15B</t>
  </si>
  <si>
    <t>-85.71B</t>
  </si>
  <si>
    <t>14.20B</t>
  </si>
  <si>
    <t>4.85B</t>
  </si>
  <si>
    <t>-22.18B</t>
  </si>
  <si>
    <t>239.34B</t>
  </si>
  <si>
    <t>-18.11B</t>
  </si>
  <si>
    <t>95.34B</t>
  </si>
  <si>
    <t>-63.94B</t>
  </si>
  <si>
    <t>-205.17B</t>
  </si>
  <si>
    <t>84.72B</t>
  </si>
  <si>
    <t>-72.30B</t>
  </si>
  <si>
    <t>-163.54B</t>
  </si>
  <si>
    <t>-126.22B</t>
  </si>
  <si>
    <t>-110.92B</t>
  </si>
  <si>
    <t>-70.37B</t>
  </si>
  <si>
    <t>-26.93B</t>
  </si>
  <si>
    <t>227.02B</t>
  </si>
  <si>
    <t>12.09B</t>
  </si>
  <si>
    <t>4.96B</t>
  </si>
  <si>
    <t>1.35T</t>
  </si>
  <si>
    <t>-185.11B</t>
  </si>
  <si>
    <t>-406.18B</t>
  </si>
  <si>
    <t>-134.16B</t>
  </si>
  <si>
    <t>347.81B</t>
  </si>
  <si>
    <t>-149.77B</t>
  </si>
  <si>
    <t>-881.00B</t>
  </si>
  <si>
    <t>139.27B</t>
  </si>
  <si>
    <t>-66.95B</t>
  </si>
  <si>
    <t>3.09T</t>
  </si>
  <si>
    <t>21.18B</t>
  </si>
  <si>
    <t>-35.89B</t>
  </si>
  <si>
    <t>-4.28T</t>
  </si>
  <si>
    <t>1.67T</t>
  </si>
  <si>
    <t>461.35B</t>
  </si>
  <si>
    <t>-9.72B</t>
  </si>
  <si>
    <t>-502.43B</t>
  </si>
  <si>
    <t>-736.81B</t>
  </si>
  <si>
    <t>-192.68B</t>
  </si>
  <si>
    <t>2.56T</t>
  </si>
  <si>
    <t>-73.54B</t>
  </si>
  <si>
    <t>-174.33B</t>
  </si>
  <si>
    <t>-445.87B</t>
  </si>
  <si>
    <t>-465.48B</t>
  </si>
  <si>
    <t>4.11T</t>
  </si>
  <si>
    <t>-58.96B</t>
  </si>
  <si>
    <t>602.83B</t>
  </si>
  <si>
    <t>-1.15T</t>
  </si>
  <si>
    <t>26.27B</t>
  </si>
  <si>
    <t>5.37T</t>
  </si>
  <si>
    <t>47.25T</t>
    <phoneticPr fontId="1" type="noConversion"/>
  </si>
  <si>
    <t>45.68T</t>
    <phoneticPr fontId="1" type="noConversion"/>
  </si>
  <si>
    <t>5.21T</t>
  </si>
  <si>
    <t>261.85T</t>
  </si>
  <si>
    <t>179.61T</t>
  </si>
  <si>
    <t>82.17T</t>
  </si>
  <si>
    <t>63.99T</t>
  </si>
  <si>
    <t>62.95T</t>
  </si>
  <si>
    <t>61.43T</t>
  </si>
  <si>
    <t>55.29T</t>
  </si>
  <si>
    <t>54.90T</t>
  </si>
  <si>
    <t>53.50T</t>
  </si>
  <si>
    <t>50.84T</t>
  </si>
  <si>
    <t>45.60T</t>
  </si>
  <si>
    <t>44.23T</t>
  </si>
  <si>
    <t>42.51T</t>
  </si>
  <si>
    <t>38.54T</t>
  </si>
  <si>
    <t>32.54T</t>
  </si>
  <si>
    <t>31.36T</t>
  </si>
  <si>
    <t>31.22T</t>
  </si>
  <si>
    <t>30.15T</t>
  </si>
  <si>
    <t>29.98T</t>
  </si>
  <si>
    <t>29.07T</t>
  </si>
  <si>
    <t>28.90T</t>
  </si>
  <si>
    <t>26.14T</t>
  </si>
  <si>
    <t>25.71T</t>
  </si>
  <si>
    <t>25.63T</t>
  </si>
  <si>
    <t>25.14T</t>
  </si>
  <si>
    <t>24.62T</t>
  </si>
  <si>
    <t>24.23T</t>
  </si>
  <si>
    <t>24.20T</t>
  </si>
  <si>
    <t>24.12T</t>
  </si>
  <si>
    <t>23.62T</t>
  </si>
  <si>
    <t>22.81T</t>
  </si>
  <si>
    <t>20.81T</t>
  </si>
  <si>
    <t>20.67T</t>
  </si>
  <si>
    <t>20.44T</t>
  </si>
  <si>
    <t>20.04T</t>
  </si>
  <si>
    <t>19.76T</t>
  </si>
  <si>
    <t>19.47T</t>
  </si>
  <si>
    <t>19.25T</t>
  </si>
  <si>
    <t>18.79T</t>
  </si>
  <si>
    <t>18.70T</t>
  </si>
  <si>
    <t>18.58T</t>
  </si>
  <si>
    <t>16.75T</t>
  </si>
  <si>
    <t>16.25T</t>
  </si>
  <si>
    <t>15.83T</t>
  </si>
  <si>
    <t>15.23T</t>
  </si>
  <si>
    <t>14.93T</t>
  </si>
  <si>
    <t>14.70T</t>
  </si>
  <si>
    <t>14.61T</t>
  </si>
  <si>
    <t>14.54T</t>
  </si>
  <si>
    <t>14.24T</t>
  </si>
  <si>
    <t>14.18T</t>
  </si>
  <si>
    <t>14.16T</t>
  </si>
  <si>
    <t>14.02T</t>
  </si>
  <si>
    <t>13.73T</t>
  </si>
  <si>
    <t>13.47T</t>
  </si>
  <si>
    <t>12.92T</t>
  </si>
  <si>
    <t>12.78T</t>
  </si>
  <si>
    <t>12.60T</t>
  </si>
  <si>
    <t>11.84T</t>
  </si>
  <si>
    <t>11.36T</t>
  </si>
  <si>
    <t>10.68T</t>
  </si>
  <si>
    <t>9.69T</t>
  </si>
  <si>
    <t>9.55T</t>
  </si>
  <si>
    <t>9.46T</t>
  </si>
  <si>
    <t>9.25T</t>
  </si>
  <si>
    <t>8.85T</t>
  </si>
  <si>
    <t>8.58T</t>
  </si>
  <si>
    <t>8.48T</t>
  </si>
  <si>
    <t>8.41T</t>
  </si>
  <si>
    <t>8.33T</t>
  </si>
  <si>
    <t>8.22T</t>
  </si>
  <si>
    <t>8.18T</t>
  </si>
  <si>
    <t>7.94T</t>
  </si>
  <si>
    <t>7.80T</t>
  </si>
  <si>
    <t>7.72T</t>
  </si>
  <si>
    <t>7.49T</t>
  </si>
  <si>
    <t>7.42T</t>
  </si>
  <si>
    <t>7.31T</t>
  </si>
  <si>
    <t>7.30T</t>
  </si>
  <si>
    <t>7.22T</t>
  </si>
  <si>
    <t>7.20T</t>
  </si>
  <si>
    <t>7.16T</t>
  </si>
  <si>
    <t>7.09T</t>
  </si>
  <si>
    <t>6.96T</t>
  </si>
  <si>
    <t>6.84T</t>
  </si>
  <si>
    <t>6.70T</t>
  </si>
  <si>
    <t>6.61T</t>
  </si>
  <si>
    <t>6.60T</t>
  </si>
  <si>
    <t>6.59T</t>
  </si>
  <si>
    <t>6.56T</t>
  </si>
  <si>
    <t>6.45T</t>
  </si>
  <si>
    <t>6.07T</t>
  </si>
  <si>
    <t>6.04T</t>
  </si>
  <si>
    <t>5.85T</t>
  </si>
  <si>
    <t>5.66T</t>
  </si>
  <si>
    <t>5.65T</t>
  </si>
  <si>
    <t>5.52T</t>
  </si>
  <si>
    <t>5.50T</t>
  </si>
  <si>
    <t>5.46T</t>
  </si>
  <si>
    <t>5.35T</t>
  </si>
  <si>
    <t>5.19T</t>
  </si>
  <si>
    <t>5.18T</t>
  </si>
  <si>
    <t>5.16T</t>
  </si>
  <si>
    <t>5.06T</t>
  </si>
  <si>
    <t>4.98T</t>
  </si>
  <si>
    <t>4.88T</t>
  </si>
  <si>
    <t>4.86T</t>
  </si>
  <si>
    <t>4.82T</t>
  </si>
  <si>
    <t>4.79T</t>
  </si>
  <si>
    <t>4.74T</t>
  </si>
  <si>
    <t>4.66T</t>
  </si>
  <si>
    <t>4.59T</t>
  </si>
  <si>
    <t>4.37T</t>
  </si>
  <si>
    <t>4.26T</t>
  </si>
  <si>
    <t>4.24T</t>
  </si>
  <si>
    <t>4.22T</t>
  </si>
  <si>
    <t>4.18T</t>
  </si>
  <si>
    <t>4.01T</t>
  </si>
  <si>
    <t>3.97T</t>
  </si>
  <si>
    <t>3.93T</t>
  </si>
  <si>
    <t>3.89T</t>
  </si>
  <si>
    <t>3.88T</t>
  </si>
  <si>
    <t>3.86T</t>
  </si>
  <si>
    <t>3.83T</t>
  </si>
  <si>
    <t>3.81T</t>
  </si>
  <si>
    <t>3.79T</t>
  </si>
  <si>
    <t>3.77T</t>
  </si>
  <si>
    <t>3.73T</t>
  </si>
  <si>
    <t>3.55T</t>
  </si>
  <si>
    <t>3.49T</t>
  </si>
  <si>
    <t>3.43T</t>
  </si>
  <si>
    <t>3.29T</t>
  </si>
  <si>
    <t>3.28T</t>
  </si>
  <si>
    <t>3.18T</t>
  </si>
  <si>
    <t>3.10T</t>
  </si>
  <si>
    <t>3.08T</t>
  </si>
  <si>
    <t>3.03T</t>
  </si>
  <si>
    <t>2.99T</t>
  </si>
  <si>
    <t>2.97T</t>
  </si>
  <si>
    <t>2.95T</t>
  </si>
  <si>
    <t>2.93T</t>
  </si>
  <si>
    <t>2.92T</t>
  </si>
  <si>
    <t>2.74T</t>
  </si>
  <si>
    <t>2.73T</t>
  </si>
  <si>
    <t>2.69T</t>
  </si>
  <si>
    <t>2.63T</t>
  </si>
  <si>
    <t>2.62T</t>
  </si>
  <si>
    <t>2.59T</t>
  </si>
  <si>
    <t>2.58T</t>
  </si>
  <si>
    <t>2.53T</t>
  </si>
  <si>
    <t>2.50T</t>
  </si>
  <si>
    <t>2.48T</t>
  </si>
  <si>
    <t>2.42T</t>
  </si>
  <si>
    <t>2.40T</t>
  </si>
  <si>
    <t>2.38T</t>
  </si>
  <si>
    <t>2.34T</t>
  </si>
  <si>
    <t>2.30T</t>
  </si>
  <si>
    <t>2.28T</t>
  </si>
  <si>
    <t>2.19T</t>
  </si>
  <si>
    <t>2.15T</t>
  </si>
  <si>
    <t>2.13T</t>
  </si>
  <si>
    <t>2.05T</t>
  </si>
  <si>
    <t>2.03T</t>
  </si>
  <si>
    <t>1.88T</t>
  </si>
  <si>
    <t>1.87T</t>
  </si>
  <si>
    <t>1.79T</t>
  </si>
  <si>
    <t>1.78T</t>
  </si>
  <si>
    <t>1.69T</t>
  </si>
  <si>
    <t>1.65T</t>
  </si>
  <si>
    <t>1.62T</t>
  </si>
  <si>
    <t>1.61T</t>
  </si>
  <si>
    <t>1.60T</t>
  </si>
  <si>
    <t>1.57T</t>
  </si>
  <si>
    <t>1.56T</t>
  </si>
  <si>
    <t>1.53T</t>
  </si>
  <si>
    <t>1.49T</t>
  </si>
  <si>
    <t>1.45T</t>
  </si>
  <si>
    <t>1.44T</t>
  </si>
  <si>
    <t>1.43T</t>
  </si>
  <si>
    <t>1.38T</t>
  </si>
  <si>
    <t>1.36T</t>
  </si>
  <si>
    <t>1.34T</t>
  </si>
  <si>
    <t>1.29T</t>
  </si>
  <si>
    <t>1.23T</t>
  </si>
  <si>
    <t>1.17T</t>
  </si>
  <si>
    <t>1.14T</t>
  </si>
  <si>
    <t>1.06T</t>
  </si>
  <si>
    <t>1.00T</t>
  </si>
  <si>
    <t>989.44B</t>
  </si>
  <si>
    <t>982.63B</t>
  </si>
  <si>
    <t>975.06B</t>
  </si>
  <si>
    <t>881.67B</t>
  </si>
  <si>
    <t>847.81B</t>
  </si>
  <si>
    <t>847.72B</t>
  </si>
  <si>
    <t>844.43B</t>
  </si>
  <si>
    <t>829.22B</t>
  </si>
  <si>
    <t>816.00B</t>
  </si>
  <si>
    <t>810.36B</t>
  </si>
  <si>
    <t>805.55B</t>
  </si>
  <si>
    <t>804.74B</t>
  </si>
  <si>
    <t>789.14B</t>
  </si>
  <si>
    <t>785.10B</t>
  </si>
  <si>
    <t>771.55B</t>
  </si>
  <si>
    <t>767.48B</t>
  </si>
  <si>
    <t>748.07B</t>
  </si>
  <si>
    <t>743.93B</t>
  </si>
  <si>
    <t>736.37B</t>
  </si>
  <si>
    <t>733.44B</t>
  </si>
  <si>
    <t>732.17B</t>
  </si>
  <si>
    <t>721.24B</t>
  </si>
  <si>
    <t>709.96B</t>
  </si>
  <si>
    <t>708.07B</t>
  </si>
  <si>
    <t>702.51B</t>
  </si>
  <si>
    <t>690.19B</t>
  </si>
  <si>
    <t>685.81B</t>
  </si>
  <si>
    <t>681.25B</t>
  </si>
  <si>
    <t>666.83B</t>
  </si>
  <si>
    <t>654.08B</t>
  </si>
  <si>
    <t>653.80B</t>
  </si>
  <si>
    <t>649.65B</t>
  </si>
  <si>
    <t>639.70B</t>
  </si>
  <si>
    <t>639.09B</t>
  </si>
  <si>
    <t>638.57B</t>
  </si>
  <si>
    <t>636.74B</t>
  </si>
  <si>
    <t>628.20B</t>
  </si>
  <si>
    <t>620.81B</t>
  </si>
  <si>
    <t>615.96B</t>
  </si>
  <si>
    <t>611.14B</t>
  </si>
  <si>
    <t>598.71B</t>
  </si>
  <si>
    <t>598.37B</t>
  </si>
  <si>
    <t>568.24B</t>
  </si>
  <si>
    <t>567.56B</t>
  </si>
  <si>
    <t>556.84B</t>
  </si>
  <si>
    <t>549.59B</t>
  </si>
  <si>
    <t>539.66B</t>
  </si>
  <si>
    <t>531.17B</t>
  </si>
  <si>
    <t>501.24B</t>
  </si>
  <si>
    <t>498.81B</t>
  </si>
  <si>
    <t>498.51B</t>
  </si>
  <si>
    <t>490.56B</t>
  </si>
  <si>
    <t>483.60B</t>
  </si>
  <si>
    <t>483.04B</t>
  </si>
  <si>
    <t>478.77B</t>
  </si>
  <si>
    <t>477.84B</t>
  </si>
  <si>
    <t>473.31B</t>
  </si>
  <si>
    <t>468.52B</t>
  </si>
  <si>
    <t>464.95B</t>
  </si>
  <si>
    <t>463.29B</t>
  </si>
  <si>
    <t>447.01B</t>
  </si>
  <si>
    <t>445.69B</t>
  </si>
  <si>
    <t>439.47B</t>
  </si>
  <si>
    <t>438.72B</t>
  </si>
  <si>
    <t>436.20B</t>
  </si>
  <si>
    <t>431.92B</t>
  </si>
  <si>
    <t>430.03B</t>
  </si>
  <si>
    <t>427.60B</t>
  </si>
  <si>
    <t>410.33B</t>
  </si>
  <si>
    <t>409.48B</t>
  </si>
  <si>
    <t>407.99B</t>
  </si>
  <si>
    <t>400.01B</t>
  </si>
  <si>
    <t>399.34B</t>
  </si>
  <si>
    <t>387.98B</t>
  </si>
  <si>
    <t>382.46B</t>
  </si>
  <si>
    <t>375.01B</t>
  </si>
  <si>
    <t>370.92B</t>
  </si>
  <si>
    <t>370.25B</t>
  </si>
  <si>
    <t>364.93B</t>
  </si>
  <si>
    <t>359.06B</t>
  </si>
  <si>
    <t>353.50B</t>
  </si>
  <si>
    <t>341.49B</t>
  </si>
  <si>
    <t>333.26B</t>
  </si>
  <si>
    <t>331.74B</t>
  </si>
  <si>
    <t>329.67B</t>
  </si>
  <si>
    <t>328.71B</t>
  </si>
  <si>
    <t>319.11B</t>
  </si>
  <si>
    <t>317.09B</t>
  </si>
  <si>
    <t>308.71B</t>
  </si>
  <si>
    <t>304.96B</t>
  </si>
  <si>
    <t>296.13B</t>
  </si>
  <si>
    <t>289.99B</t>
  </si>
  <si>
    <t>288.02B</t>
  </si>
  <si>
    <t>283.52B</t>
  </si>
  <si>
    <t>283.05B</t>
  </si>
  <si>
    <t>280.26B</t>
  </si>
  <si>
    <t>276.48B</t>
  </si>
  <si>
    <t>273.18B</t>
  </si>
  <si>
    <t>273.16B</t>
  </si>
  <si>
    <t>269.35B</t>
  </si>
  <si>
    <t>266.03B</t>
  </si>
  <si>
    <t>265.03B</t>
  </si>
  <si>
    <t>259.29B</t>
  </si>
  <si>
    <t>257.83B</t>
  </si>
  <si>
    <t>252.45B</t>
  </si>
  <si>
    <t>243.51B</t>
  </si>
  <si>
    <t>229.45B</t>
  </si>
  <si>
    <t>229.06B</t>
  </si>
  <si>
    <t>228.71B</t>
  </si>
  <si>
    <t>221.47B</t>
  </si>
  <si>
    <t>215.49B</t>
  </si>
  <si>
    <t>210.86B</t>
  </si>
  <si>
    <t>200.91B</t>
  </si>
  <si>
    <t>199.41B</t>
  </si>
  <si>
    <t>199.33B</t>
  </si>
  <si>
    <t>198.52B</t>
  </si>
  <si>
    <t>195.66B</t>
  </si>
  <si>
    <t>183.25B</t>
  </si>
  <si>
    <t>179.26B</t>
  </si>
  <si>
    <t>177.29B</t>
  </si>
  <si>
    <t>176.82B</t>
  </si>
  <si>
    <t>174.13B</t>
  </si>
  <si>
    <t>170.94B</t>
  </si>
  <si>
    <t>167.49B</t>
  </si>
  <si>
    <t>167.06B</t>
  </si>
  <si>
    <t>166.32B</t>
  </si>
  <si>
    <t>166.31B</t>
  </si>
  <si>
    <t>165.87B</t>
  </si>
  <si>
    <t>162.83B</t>
  </si>
  <si>
    <t>162.41B</t>
  </si>
  <si>
    <t>157.85B</t>
  </si>
  <si>
    <t>157.70B</t>
  </si>
  <si>
    <t>153.73B</t>
  </si>
  <si>
    <t>152.93B</t>
  </si>
  <si>
    <t>150.88B</t>
  </si>
  <si>
    <t>150.18B</t>
  </si>
  <si>
    <t>148.48B</t>
  </si>
  <si>
    <t>139.81B</t>
  </si>
  <si>
    <t>136.62B</t>
  </si>
  <si>
    <t>131.26B</t>
  </si>
  <si>
    <t>129.03B</t>
  </si>
  <si>
    <t>119.44B</t>
  </si>
  <si>
    <t>117.11B</t>
  </si>
  <si>
    <t>114.07B</t>
  </si>
  <si>
    <t>110.95B</t>
  </si>
  <si>
    <t>107.65B</t>
  </si>
  <si>
    <t>107.35B</t>
  </si>
  <si>
    <t>105.89B</t>
  </si>
  <si>
    <t>93.34B</t>
  </si>
  <si>
    <t>92.04B</t>
  </si>
  <si>
    <t>86.67B</t>
  </si>
  <si>
    <t>84.64B</t>
  </si>
  <si>
    <t>78.31B</t>
  </si>
  <si>
    <t>74.92B</t>
  </si>
  <si>
    <t>74.60B</t>
  </si>
  <si>
    <t>68.33B</t>
  </si>
  <si>
    <t>66.78B</t>
  </si>
  <si>
    <t>64.28B</t>
  </si>
  <si>
    <t>58.02B</t>
  </si>
  <si>
    <t>51.99B</t>
  </si>
  <si>
    <t>50.90B</t>
  </si>
  <si>
    <t>50.76B</t>
  </si>
  <si>
    <t>49.90B</t>
  </si>
  <si>
    <t>46.76B</t>
  </si>
  <si>
    <t>42.98B</t>
  </si>
  <si>
    <t>42.64B</t>
  </si>
  <si>
    <t>41.02B</t>
  </si>
  <si>
    <t>40.31B</t>
  </si>
  <si>
    <t>39.41B</t>
  </si>
  <si>
    <t>38.86B</t>
  </si>
  <si>
    <t>35.74B</t>
  </si>
  <si>
    <t>35.29B</t>
  </si>
  <si>
    <t>31.57B</t>
  </si>
  <si>
    <t>31.19B</t>
  </si>
  <si>
    <t>28.80B</t>
  </si>
  <si>
    <t>27.70B</t>
  </si>
  <si>
    <t>26.42B</t>
  </si>
  <si>
    <t>25.41B</t>
  </si>
  <si>
    <t>24.57B</t>
  </si>
  <si>
    <t>22.14B</t>
  </si>
  <si>
    <t>18.09B</t>
  </si>
  <si>
    <t>17.01B</t>
  </si>
  <si>
    <t>15.44B</t>
  </si>
  <si>
    <t>14.44B</t>
  </si>
  <si>
    <t>14.41B</t>
  </si>
  <si>
    <t>14.05B</t>
  </si>
  <si>
    <t>13.26B</t>
  </si>
  <si>
    <t>10.58B</t>
  </si>
  <si>
    <t>10.17B</t>
  </si>
  <si>
    <t>9.45B</t>
  </si>
  <si>
    <t>8.44B</t>
  </si>
  <si>
    <t>6.88B</t>
  </si>
  <si>
    <t>6.52B</t>
  </si>
  <si>
    <t>6.14B</t>
  </si>
  <si>
    <t>3.94B</t>
  </si>
  <si>
    <t>3.74B</t>
  </si>
  <si>
    <t>3.10B</t>
  </si>
  <si>
    <t>2.70B</t>
  </si>
  <si>
    <t>2.49B</t>
  </si>
  <si>
    <t>2.23B</t>
  </si>
  <si>
    <t>1.08B</t>
  </si>
  <si>
    <t>1.07B</t>
  </si>
  <si>
    <t>968.53M</t>
  </si>
  <si>
    <t>947.17M</t>
  </si>
  <si>
    <t>882.28M</t>
  </si>
  <si>
    <t>852.94M</t>
  </si>
  <si>
    <t>843.58M</t>
  </si>
  <si>
    <t>824.69M</t>
  </si>
  <si>
    <t>798.18M</t>
  </si>
  <si>
    <t>697.54M</t>
  </si>
  <si>
    <t>609.75M</t>
  </si>
  <si>
    <t>571.90M</t>
  </si>
  <si>
    <t>556.35M</t>
  </si>
  <si>
    <t>525.11M</t>
  </si>
  <si>
    <t>519.51M</t>
  </si>
  <si>
    <t>442.59M</t>
  </si>
  <si>
    <t>413.37M</t>
  </si>
  <si>
    <t>401.34M</t>
  </si>
  <si>
    <t>381.34M</t>
  </si>
  <si>
    <t>380.85M</t>
  </si>
  <si>
    <t>377.67M</t>
  </si>
  <si>
    <t>339.43M</t>
  </si>
  <si>
    <t>330.12M</t>
  </si>
  <si>
    <t>322.28M</t>
  </si>
  <si>
    <t>304.18M</t>
  </si>
  <si>
    <t>296.06M</t>
  </si>
  <si>
    <t>282.89M</t>
  </si>
  <si>
    <t>261.59M</t>
  </si>
  <si>
    <t>260.52M</t>
  </si>
  <si>
    <t>258.98M</t>
  </si>
  <si>
    <t>239.28M</t>
  </si>
  <si>
    <t>238.76M</t>
  </si>
  <si>
    <t>231.15M</t>
  </si>
  <si>
    <t>226.91M</t>
  </si>
  <si>
    <t>222.20M</t>
  </si>
  <si>
    <t>204.71M</t>
  </si>
  <si>
    <t>183.98M</t>
  </si>
  <si>
    <t>174.22M</t>
  </si>
  <si>
    <t>167.85M</t>
  </si>
  <si>
    <t>165.09M</t>
  </si>
  <si>
    <t>159.62M</t>
  </si>
  <si>
    <t>147.25M</t>
  </si>
  <si>
    <t>140.25M</t>
  </si>
  <si>
    <t>132.66M</t>
  </si>
  <si>
    <t>129.80M</t>
  </si>
  <si>
    <t>121.22M</t>
  </si>
  <si>
    <t>119.67M</t>
  </si>
  <si>
    <t>116.38M</t>
  </si>
  <si>
    <t>116.16M</t>
  </si>
  <si>
    <t>112.84M</t>
  </si>
  <si>
    <t>100.78M</t>
  </si>
  <si>
    <t>98.71M</t>
  </si>
  <si>
    <t>94.30M</t>
  </si>
  <si>
    <t>93.77M</t>
  </si>
  <si>
    <t>91.57M</t>
  </si>
  <si>
    <t>85.85M</t>
  </si>
  <si>
    <t>81.81M</t>
  </si>
  <si>
    <t>66.02M</t>
  </si>
  <si>
    <t>55.11M</t>
  </si>
  <si>
    <t>52.66M</t>
  </si>
  <si>
    <t>49.43M</t>
  </si>
  <si>
    <t>44.38M</t>
  </si>
  <si>
    <t>38.52M</t>
  </si>
  <si>
    <t>24.59M</t>
  </si>
  <si>
    <t>478.81k</t>
  </si>
  <si>
    <t>295.83T</t>
  </si>
  <si>
    <t>198.48T</t>
  </si>
  <si>
    <t>88.40T</t>
  </si>
  <si>
    <t>82.26T</t>
  </si>
  <si>
    <t>66.76T</t>
  </si>
  <si>
    <t>97.90T</t>
  </si>
  <si>
    <t>56.52T</t>
  </si>
  <si>
    <t>56.32T</t>
  </si>
  <si>
    <t>79.19T</t>
  </si>
  <si>
    <t>50.66T</t>
  </si>
  <si>
    <t>56.77T</t>
  </si>
  <si>
    <t>48.96T</t>
  </si>
  <si>
    <t>43.14T</t>
  </si>
  <si>
    <t>45.95T</t>
  </si>
  <si>
    <t>33.86T</t>
  </si>
  <si>
    <t>41.78T</t>
  </si>
  <si>
    <t>28.86T</t>
  </si>
  <si>
    <t>30.01T</t>
  </si>
  <si>
    <t>31.87T</t>
  </si>
  <si>
    <t>31.62T</t>
  </si>
  <si>
    <t>27.36T</t>
  </si>
  <si>
    <t>28.79T</t>
  </si>
  <si>
    <t>31.38T</t>
  </si>
  <si>
    <t>26.63T</t>
  </si>
  <si>
    <t>27.69T</t>
  </si>
  <si>
    <t>25.12T</t>
  </si>
  <si>
    <t>24.53T</t>
  </si>
  <si>
    <t>20.02T</t>
  </si>
  <si>
    <t>25.60T</t>
  </si>
  <si>
    <t>24.11T</t>
  </si>
  <si>
    <t>21.66T</t>
  </si>
  <si>
    <t>23.36T</t>
  </si>
  <si>
    <t>22.21T</t>
  </si>
  <si>
    <t>20.73T</t>
  </si>
  <si>
    <t>28.33T</t>
  </si>
  <si>
    <t>19.63T</t>
  </si>
  <si>
    <t>21.90T</t>
  </si>
  <si>
    <t>19.96T</t>
  </si>
  <si>
    <t>18.76T</t>
  </si>
  <si>
    <t>18.19T</t>
  </si>
  <si>
    <t>21.99T</t>
  </si>
  <si>
    <t>18.91T</t>
  </si>
  <si>
    <t>16.19T</t>
  </si>
  <si>
    <t>16.82T</t>
  </si>
  <si>
    <t>16.62T</t>
  </si>
  <si>
    <t>9.74T</t>
  </si>
  <si>
    <t>14.05T</t>
  </si>
  <si>
    <t>14.76T</t>
  </si>
  <si>
    <t>14.60T</t>
  </si>
  <si>
    <t>15.06T</t>
  </si>
  <si>
    <t>15.33T</t>
  </si>
  <si>
    <t>12.61T</t>
  </si>
  <si>
    <t>14.92T</t>
  </si>
  <si>
    <t>12.09T</t>
  </si>
  <si>
    <t>14.35T</t>
  </si>
  <si>
    <t>13.10T</t>
  </si>
  <si>
    <t>14.98T</t>
  </si>
  <si>
    <t>11.43T</t>
  </si>
  <si>
    <t>10.58T</t>
  </si>
  <si>
    <t>11.88T</t>
  </si>
  <si>
    <t>9.85T</t>
  </si>
  <si>
    <t>12.56T</t>
  </si>
  <si>
    <t>9.37T</t>
  </si>
  <si>
    <t>9.47T</t>
  </si>
  <si>
    <t>10.01T</t>
  </si>
  <si>
    <t>8.36T</t>
  </si>
  <si>
    <t>8.75T</t>
  </si>
  <si>
    <t>8.45T</t>
  </si>
  <si>
    <t>10.74T</t>
  </si>
  <si>
    <t>7.47T</t>
  </si>
  <si>
    <t>7.36T</t>
  </si>
  <si>
    <t>8.87T</t>
  </si>
  <si>
    <t>7.01T</t>
  </si>
  <si>
    <t>6.52T</t>
  </si>
  <si>
    <t>10.46T</t>
  </si>
  <si>
    <t>7.04T</t>
  </si>
  <si>
    <t>9.77T</t>
  </si>
  <si>
    <t>7.43T</t>
  </si>
  <si>
    <t>7.73T</t>
  </si>
  <si>
    <t>5.43T</t>
  </si>
  <si>
    <t>6.83T</t>
  </si>
  <si>
    <t>6.66T</t>
  </si>
  <si>
    <t>7.27T</t>
  </si>
  <si>
    <t>6.36T</t>
  </si>
  <si>
    <t>6.27T</t>
  </si>
  <si>
    <t>6.40T</t>
  </si>
  <si>
    <t>5.77T</t>
  </si>
  <si>
    <t>12.46T</t>
  </si>
  <si>
    <t>5.32T</t>
  </si>
  <si>
    <t>4.95T</t>
  </si>
  <si>
    <t>5.72T</t>
  </si>
  <si>
    <t>3.71T</t>
  </si>
  <si>
    <t>5.31T</t>
  </si>
  <si>
    <t>5.39T</t>
  </si>
  <si>
    <t>5.93T</t>
  </si>
  <si>
    <t>4.04T</t>
  </si>
  <si>
    <t>7.07T</t>
  </si>
  <si>
    <t>4.89T</t>
  </si>
  <si>
    <t>6.10T</t>
  </si>
  <si>
    <t>4.64T</t>
  </si>
  <si>
    <t>11.32T</t>
  </si>
  <si>
    <t>5.14T</t>
  </si>
  <si>
    <t>7.60T</t>
  </si>
  <si>
    <t>4.71T</t>
  </si>
  <si>
    <t>4.20T</t>
  </si>
  <si>
    <t>5.36T</t>
  </si>
  <si>
    <t>4.12T</t>
  </si>
  <si>
    <t>4.27T</t>
  </si>
  <si>
    <t>2.87T</t>
  </si>
  <si>
    <t>3.75T</t>
  </si>
  <si>
    <t>4.43T</t>
  </si>
  <si>
    <t>3.48T</t>
  </si>
  <si>
    <t>3.58T</t>
  </si>
  <si>
    <t>3.33T</t>
  </si>
  <si>
    <t>3.24T</t>
  </si>
  <si>
    <t>3.14T</t>
  </si>
  <si>
    <t>3.84T</t>
  </si>
  <si>
    <t>3.31T</t>
  </si>
  <si>
    <t>3.16T</t>
  </si>
  <si>
    <t>5.15T</t>
  </si>
  <si>
    <t>2.94T</t>
  </si>
  <si>
    <t>4.56T</t>
  </si>
  <si>
    <t>3.78T</t>
  </si>
  <si>
    <t>3.26T</t>
  </si>
  <si>
    <t>2.89T</t>
  </si>
  <si>
    <t>3.76T</t>
  </si>
  <si>
    <t>2.51T</t>
  </si>
  <si>
    <t>2.80T</t>
  </si>
  <si>
    <t>2.83T</t>
  </si>
  <si>
    <t>2.24T</t>
  </si>
  <si>
    <t>3.35T</t>
  </si>
  <si>
    <t>2.43T</t>
  </si>
  <si>
    <t>2.37T</t>
  </si>
  <si>
    <t>2.70T</t>
  </si>
  <si>
    <t>2.47T</t>
  </si>
  <si>
    <t>2.65T</t>
  </si>
  <si>
    <t>2.29T</t>
  </si>
  <si>
    <t>3.51T</t>
  </si>
  <si>
    <t>2.18T</t>
  </si>
  <si>
    <t>1.96T</t>
  </si>
  <si>
    <t>873.58B</t>
  </si>
  <si>
    <t>1.90T</t>
  </si>
  <si>
    <t>2.27T</t>
  </si>
  <si>
    <t>3.01T</t>
  </si>
  <si>
    <t>1.85T</t>
  </si>
  <si>
    <t>2.41T</t>
  </si>
  <si>
    <t>1.66T</t>
  </si>
  <si>
    <t>3.46T</t>
  </si>
  <si>
    <t>718.02B</t>
  </si>
  <si>
    <t>1.50T</t>
  </si>
  <si>
    <t>1.64T</t>
  </si>
  <si>
    <t>1.52T</t>
  </si>
  <si>
    <t>1.40T</t>
  </si>
  <si>
    <t>4.49T</t>
  </si>
  <si>
    <t>1.42T</t>
  </si>
  <si>
    <t>1.37T</t>
  </si>
  <si>
    <t>1.51T</t>
  </si>
  <si>
    <t>5.13T</t>
  </si>
  <si>
    <t>1.02T</t>
  </si>
  <si>
    <t>946.45B</t>
  </si>
  <si>
    <t>964.71B</t>
  </si>
  <si>
    <t>921.24B</t>
  </si>
  <si>
    <t>841.40B</t>
  </si>
  <si>
    <t>863.18B</t>
  </si>
  <si>
    <t>903.77B</t>
  </si>
  <si>
    <t>883.81B</t>
  </si>
  <si>
    <t>859.30B</t>
  </si>
  <si>
    <t>834.55B</t>
  </si>
  <si>
    <t>803.61B</t>
  </si>
  <si>
    <t>855.69B</t>
  </si>
  <si>
    <t>843.45B</t>
  </si>
  <si>
    <t>783.49B</t>
  </si>
  <si>
    <t>801.48B</t>
  </si>
  <si>
    <t>840.24B</t>
  </si>
  <si>
    <t>847.01B</t>
  </si>
  <si>
    <t>662.18B</t>
  </si>
  <si>
    <t>938.01B</t>
  </si>
  <si>
    <t>804.02B</t>
  </si>
  <si>
    <t>780.67B</t>
  </si>
  <si>
    <t>743.79B</t>
  </si>
  <si>
    <t>796.77B</t>
  </si>
  <si>
    <t>614.71B</t>
  </si>
  <si>
    <t>681.94B</t>
  </si>
  <si>
    <t>811.10B</t>
  </si>
  <si>
    <t>636.61B</t>
  </si>
  <si>
    <t>759.51B</t>
  </si>
  <si>
    <t>691.01B</t>
  </si>
  <si>
    <t>605.64B</t>
  </si>
  <si>
    <t>544.97B</t>
  </si>
  <si>
    <t>723.06B</t>
  </si>
  <si>
    <t>725.66B</t>
  </si>
  <si>
    <t>485.98B</t>
  </si>
  <si>
    <t>665.79B</t>
  </si>
  <si>
    <t>700.25B</t>
  </si>
  <si>
    <t>636.28B</t>
  </si>
  <si>
    <t>587.70B</t>
  </si>
  <si>
    <t>712.17B</t>
  </si>
  <si>
    <t>481.40B</t>
  </si>
  <si>
    <t>507.97B</t>
  </si>
  <si>
    <t>504.84B</t>
  </si>
  <si>
    <t>507.86B</t>
  </si>
  <si>
    <t>485.11B</t>
  </si>
  <si>
    <t>505.11B</t>
  </si>
  <si>
    <t>561.75B</t>
  </si>
  <si>
    <t>876.39B</t>
  </si>
  <si>
    <t>497.35B</t>
  </si>
  <si>
    <t>446.34B</t>
  </si>
  <si>
    <t>268.12B</t>
  </si>
  <si>
    <t>428.23B</t>
  </si>
  <si>
    <t>401.01B</t>
  </si>
  <si>
    <t>465.73B</t>
  </si>
  <si>
    <t>660.92B</t>
  </si>
  <si>
    <t>528.94B</t>
  </si>
  <si>
    <t>571.04B</t>
  </si>
  <si>
    <t>513.02B</t>
  </si>
  <si>
    <t>579.97B</t>
  </si>
  <si>
    <t>385.45B</t>
  </si>
  <si>
    <t>520.24B</t>
  </si>
  <si>
    <t>267.49B</t>
  </si>
  <si>
    <t>616.11B</t>
  </si>
  <si>
    <t>498.70B</t>
  </si>
  <si>
    <t>416.29B</t>
  </si>
  <si>
    <t>423.18B</t>
  </si>
  <si>
    <t>373.57B</t>
  </si>
  <si>
    <t>476.58B</t>
  </si>
  <si>
    <t>465.97B</t>
  </si>
  <si>
    <t>398.70B</t>
  </si>
  <si>
    <t>414.19B</t>
  </si>
  <si>
    <t>495.58B</t>
  </si>
  <si>
    <t>576.96B</t>
  </si>
  <si>
    <t>313.92B</t>
  </si>
  <si>
    <t>352.12B</t>
  </si>
  <si>
    <t>359.86B</t>
  </si>
  <si>
    <t>399.90B</t>
  </si>
  <si>
    <t>457.42B</t>
  </si>
  <si>
    <t>867.45B</t>
  </si>
  <si>
    <t>341.75B</t>
  </si>
  <si>
    <t>365.40B</t>
  </si>
  <si>
    <t>380.29B</t>
  </si>
  <si>
    <t>423.31B</t>
  </si>
  <si>
    <t>257.08B</t>
  </si>
  <si>
    <t>300.00B</t>
  </si>
  <si>
    <t>308.49B</t>
  </si>
  <si>
    <t>306.09B</t>
  </si>
  <si>
    <t>317.14B</t>
  </si>
  <si>
    <t>291.91B</t>
  </si>
  <si>
    <t>490.62B</t>
  </si>
  <si>
    <t>303.54B</t>
  </si>
  <si>
    <t>370.54B</t>
  </si>
  <si>
    <t>252.29B</t>
  </si>
  <si>
    <t>280.92B</t>
  </si>
  <si>
    <t>303.79B</t>
  </si>
  <si>
    <t>282.56B</t>
  </si>
  <si>
    <t>219.25B</t>
  </si>
  <si>
    <t>261.64B</t>
  </si>
  <si>
    <t>250.47B</t>
  </si>
  <si>
    <t>233.73B</t>
  </si>
  <si>
    <t>411.06B</t>
  </si>
  <si>
    <t>224.87B</t>
  </si>
  <si>
    <t>328.02B</t>
  </si>
  <si>
    <t>244.72B</t>
  </si>
  <si>
    <t>317.71B</t>
  </si>
  <si>
    <t>501.19B</t>
  </si>
  <si>
    <t>200.59B</t>
  </si>
  <si>
    <t>275.71B</t>
  </si>
  <si>
    <t>412.44B</t>
  </si>
  <si>
    <t>365.96B</t>
  </si>
  <si>
    <t>406.54B</t>
  </si>
  <si>
    <t>179.04B</t>
  </si>
  <si>
    <t>183.50B</t>
  </si>
  <si>
    <t>227.60B</t>
  </si>
  <si>
    <t>432.06B</t>
  </si>
  <si>
    <t>159.56B</t>
  </si>
  <si>
    <t>161.11B</t>
  </si>
  <si>
    <t>229.96B</t>
  </si>
  <si>
    <t>161.16B</t>
  </si>
  <si>
    <t>109.92B</t>
  </si>
  <si>
    <t>970.70B</t>
  </si>
  <si>
    <t>137.36B</t>
  </si>
  <si>
    <t>219.56B</t>
  </si>
  <si>
    <t>152.26B</t>
  </si>
  <si>
    <t>182.41B</t>
  </si>
  <si>
    <t>157.41B</t>
  </si>
  <si>
    <t>134.76B</t>
  </si>
  <si>
    <t>149.42B</t>
  </si>
  <si>
    <t>305.21B</t>
  </si>
  <si>
    <t>171.33B</t>
  </si>
  <si>
    <t>188.27B</t>
  </si>
  <si>
    <t>119.31B</t>
  </si>
  <si>
    <t>126.10B</t>
  </si>
  <si>
    <t>149.75B</t>
  </si>
  <si>
    <t>201.38B</t>
  </si>
  <si>
    <t>126.64B</t>
  </si>
  <si>
    <t>122.62B</t>
  </si>
  <si>
    <t>123.82B</t>
  </si>
  <si>
    <t>359.19B</t>
  </si>
  <si>
    <t>89.33B</t>
  </si>
  <si>
    <t>132.71B</t>
  </si>
  <si>
    <t>80.23B</t>
  </si>
  <si>
    <t>141.27B</t>
  </si>
  <si>
    <t>99.80B</t>
  </si>
  <si>
    <t>60.81B</t>
  </si>
  <si>
    <t>80.93B</t>
  </si>
  <si>
    <t>63.48B</t>
  </si>
  <si>
    <t>52.10B</t>
  </si>
  <si>
    <t>146.55B</t>
  </si>
  <si>
    <t>192.45B</t>
  </si>
  <si>
    <t>73.33B</t>
  </si>
  <si>
    <t>43.97B</t>
  </si>
  <si>
    <t>54.94B</t>
  </si>
  <si>
    <t>76.25B</t>
  </si>
  <si>
    <t>49.75B</t>
  </si>
  <si>
    <t>50.72B</t>
  </si>
  <si>
    <t>140.81B</t>
  </si>
  <si>
    <t>48.71B</t>
  </si>
  <si>
    <t>86.20B</t>
  </si>
  <si>
    <t>87.02B</t>
  </si>
  <si>
    <t>57.49B</t>
  </si>
  <si>
    <t>305.48B</t>
  </si>
  <si>
    <t>249.61B</t>
  </si>
  <si>
    <t>33.13B</t>
  </si>
  <si>
    <t>95.63B</t>
  </si>
  <si>
    <t>30.79B</t>
  </si>
  <si>
    <t>34.93B</t>
  </si>
  <si>
    <t>58.73B</t>
  </si>
  <si>
    <t>127.67B</t>
  </si>
  <si>
    <t>334.89B</t>
  </si>
  <si>
    <t>46.77B</t>
  </si>
  <si>
    <t>29.52B</t>
  </si>
  <si>
    <t>35.68B</t>
  </si>
  <si>
    <t>46.05B</t>
  </si>
  <si>
    <t>15.10B</t>
  </si>
  <si>
    <t>623.12B</t>
  </si>
  <si>
    <t>174.94B</t>
  </si>
  <si>
    <t>21.57B</t>
  </si>
  <si>
    <t>178.21B</t>
  </si>
  <si>
    <t>16.13B</t>
  </si>
  <si>
    <t>5.45B</t>
  </si>
  <si>
    <t>29.24B</t>
  </si>
  <si>
    <t>48.25B</t>
  </si>
  <si>
    <t>8.22B</t>
  </si>
  <si>
    <t>7.63B</t>
  </si>
  <si>
    <t>6.81B</t>
  </si>
  <si>
    <t>12.43B</t>
  </si>
  <si>
    <t>4.11B</t>
  </si>
  <si>
    <t>3.76B</t>
  </si>
  <si>
    <t>3.70B</t>
  </si>
  <si>
    <t>9.04B</t>
  </si>
  <si>
    <t>3.64B</t>
  </si>
  <si>
    <t>2.58B</t>
  </si>
  <si>
    <t>2.74B</t>
  </si>
  <si>
    <t>2.99B</t>
  </si>
  <si>
    <t>1.34B</t>
  </si>
  <si>
    <t>1.36B</t>
  </si>
  <si>
    <t>866.62M</t>
  </si>
  <si>
    <t>1.04B</t>
  </si>
  <si>
    <t>47.33B</t>
  </si>
  <si>
    <t>945.58M</t>
  </si>
  <si>
    <t>921.25M</t>
  </si>
  <si>
    <t>806.74M</t>
  </si>
  <si>
    <t>888.81M</t>
  </si>
  <si>
    <t>982.91M</t>
  </si>
  <si>
    <t>1.48B</t>
  </si>
  <si>
    <t>655.53M</t>
  </si>
  <si>
    <t>588.79M</t>
  </si>
  <si>
    <t>586.64M</t>
  </si>
  <si>
    <t>566.52M</t>
  </si>
  <si>
    <t>573.35M</t>
  </si>
  <si>
    <t>539.15M</t>
  </si>
  <si>
    <t>459.44M</t>
  </si>
  <si>
    <t>338.52M</t>
  </si>
  <si>
    <t>401.80M</t>
  </si>
  <si>
    <t>374.11M</t>
  </si>
  <si>
    <t>590.47M</t>
  </si>
  <si>
    <t>340.07M</t>
  </si>
  <si>
    <t>327.06M</t>
  </si>
  <si>
    <t>331.17M</t>
  </si>
  <si>
    <t>370.87M</t>
  </si>
  <si>
    <t>304.48M</t>
  </si>
  <si>
    <t>287.79M</t>
  </si>
  <si>
    <t>348.34M</t>
  </si>
  <si>
    <t>240.10M</t>
  </si>
  <si>
    <t>338.38M</t>
  </si>
  <si>
    <t>283.35M</t>
  </si>
  <si>
    <t>311.06M</t>
  </si>
  <si>
    <t>231.57M</t>
  </si>
  <si>
    <t>223.75M</t>
  </si>
  <si>
    <t>202.88M</t>
  </si>
  <si>
    <t>191.86M</t>
  </si>
  <si>
    <t>210.14M</t>
  </si>
  <si>
    <t>635.53B</t>
  </si>
  <si>
    <t>187.71M</t>
  </si>
  <si>
    <t>175.56M</t>
  </si>
  <si>
    <t>149.45M</t>
  </si>
  <si>
    <t>136.07M</t>
  </si>
  <si>
    <t>95.74M</t>
  </si>
  <si>
    <t>123.60M</t>
  </si>
  <si>
    <t>164.82M</t>
  </si>
  <si>
    <t>115.02M</t>
  </si>
  <si>
    <t>126.12M</t>
  </si>
  <si>
    <t>160.78M</t>
  </si>
  <si>
    <t>98.46M</t>
  </si>
  <si>
    <t>123.77M</t>
  </si>
  <si>
    <t>80.10M</t>
  </si>
  <si>
    <t>105.05M</t>
  </si>
  <si>
    <t>77.76M</t>
  </si>
  <si>
    <t>81.65M</t>
  </si>
  <si>
    <t>82.53M</t>
  </si>
  <si>
    <t>89.11M</t>
  </si>
  <si>
    <t>81.41M</t>
  </si>
  <si>
    <t>67.20M</t>
  </si>
  <si>
    <t>59.46M</t>
  </si>
  <si>
    <t>59.26M</t>
  </si>
  <si>
    <t>61.56M</t>
  </si>
  <si>
    <t>39.94M</t>
  </si>
  <si>
    <t>48.13M</t>
  </si>
  <si>
    <t>25.42M</t>
  </si>
  <si>
    <t>158.71k</t>
  </si>
  <si>
    <t>344.71T</t>
  </si>
  <si>
    <t>206.20T</t>
  </si>
  <si>
    <t>96.54T</t>
  </si>
  <si>
    <t>116.28T</t>
  </si>
  <si>
    <t>69.10T</t>
  </si>
  <si>
    <t>124.39T</t>
  </si>
  <si>
    <t>56.42T</t>
  </si>
  <si>
    <t>57.61T</t>
  </si>
  <si>
    <t>82.42T</t>
  </si>
  <si>
    <t>53.14T</t>
  </si>
  <si>
    <t>49.08T</t>
  </si>
  <si>
    <t>50.78T</t>
  </si>
  <si>
    <t>46.60T</t>
  </si>
  <si>
    <t>52.19T</t>
  </si>
  <si>
    <t>34.67T</t>
  </si>
  <si>
    <t>59.23T</t>
  </si>
  <si>
    <t>50.20T</t>
  </si>
  <si>
    <t>27.79T</t>
  </si>
  <si>
    <t>32.20T</t>
  </si>
  <si>
    <t>34.29T</t>
  </si>
  <si>
    <t>34.37T</t>
  </si>
  <si>
    <t>29.31T</t>
  </si>
  <si>
    <t>29.58T</t>
  </si>
  <si>
    <t>41.04T</t>
  </si>
  <si>
    <t>20.11T</t>
  </si>
  <si>
    <t>28.97T</t>
  </si>
  <si>
    <t>26.86T</t>
  </si>
  <si>
    <t>27.65T</t>
  </si>
  <si>
    <t>17.16T</t>
  </si>
  <si>
    <t>29.11T</t>
  </si>
  <si>
    <t>25.21T</t>
  </si>
  <si>
    <t>23.30T</t>
  </si>
  <si>
    <t>25.02T</t>
  </si>
  <si>
    <t>19.53T</t>
  </si>
  <si>
    <t>20.89T</t>
  </si>
  <si>
    <t>30.09T</t>
  </si>
  <si>
    <t>18.67T</t>
  </si>
  <si>
    <t>22.17T</t>
  </si>
  <si>
    <t>23.04T</t>
  </si>
  <si>
    <t>22.96T</t>
  </si>
  <si>
    <t>19.71T</t>
  </si>
  <si>
    <t>24.17T</t>
  </si>
  <si>
    <t>20.33T</t>
  </si>
  <si>
    <t>16.16T</t>
  </si>
  <si>
    <t>19.94T</t>
  </si>
  <si>
    <t>18.15T</t>
  </si>
  <si>
    <t>11.94T</t>
  </si>
  <si>
    <t>13.36T</t>
  </si>
  <si>
    <t>15.89T</t>
  </si>
  <si>
    <t>16.34T</t>
  </si>
  <si>
    <t>13.61T</t>
  </si>
  <si>
    <t>17.52T</t>
  </si>
  <si>
    <t>11.67T</t>
  </si>
  <si>
    <t>15.22T</t>
  </si>
  <si>
    <t>14.88T</t>
  </si>
  <si>
    <t>17.59T</t>
  </si>
  <si>
    <t>7.03T</t>
  </si>
  <si>
    <t>14.22T</t>
  </si>
  <si>
    <t>12.63T</t>
  </si>
  <si>
    <t>12.64T</t>
  </si>
  <si>
    <t>10.04T</t>
  </si>
  <si>
    <t>14.49T</t>
  </si>
  <si>
    <t>10.97T</t>
  </si>
  <si>
    <t>10.54T</t>
  </si>
  <si>
    <t>11.63T</t>
  </si>
  <si>
    <t>9.02T</t>
  </si>
  <si>
    <t>8.34T</t>
  </si>
  <si>
    <t>11.74T</t>
  </si>
  <si>
    <t>13.45T</t>
  </si>
  <si>
    <t>7.50T</t>
  </si>
  <si>
    <t>5.26T</t>
  </si>
  <si>
    <t>12.68T</t>
  </si>
  <si>
    <t>6.57T</t>
  </si>
  <si>
    <t>9.13T</t>
  </si>
  <si>
    <t>11.30T</t>
  </si>
  <si>
    <t>8.32T</t>
  </si>
  <si>
    <t>8.02T</t>
  </si>
  <si>
    <t>4.81T</t>
  </si>
  <si>
    <t>14.34T</t>
  </si>
  <si>
    <t>9.15T</t>
  </si>
  <si>
    <t>6.91T</t>
  </si>
  <si>
    <t>6.49T</t>
  </si>
  <si>
    <t>6.65T</t>
  </si>
  <si>
    <t>6.32T</t>
  </si>
  <si>
    <t>9.23T</t>
  </si>
  <si>
    <t>4.31T</t>
  </si>
  <si>
    <t>8.43T</t>
  </si>
  <si>
    <t>6.29T</t>
  </si>
  <si>
    <t>5.00T</t>
  </si>
  <si>
    <t>6.02T</t>
  </si>
  <si>
    <t>586.94B</t>
  </si>
  <si>
    <t>8.88T</t>
  </si>
  <si>
    <t>5.24T</t>
  </si>
  <si>
    <t>11.33T</t>
  </si>
  <si>
    <t>15.14T</t>
  </si>
  <si>
    <t>5.54T</t>
  </si>
  <si>
    <t>4.25T</t>
  </si>
  <si>
    <t>4.96T</t>
  </si>
  <si>
    <t>8.24T</t>
  </si>
  <si>
    <t>5.79T</t>
  </si>
  <si>
    <t>5.56T</t>
  </si>
  <si>
    <t>7.69T</t>
  </si>
  <si>
    <t>5.09T</t>
  </si>
  <si>
    <t>4.80T</t>
  </si>
  <si>
    <t>6.09T</t>
  </si>
  <si>
    <t>5.05T</t>
  </si>
  <si>
    <t>4.85T</t>
  </si>
  <si>
    <t>4.34T</t>
  </si>
  <si>
    <t>7.56T</t>
  </si>
  <si>
    <t>2.91T</t>
  </si>
  <si>
    <t>3.99T</t>
  </si>
  <si>
    <t>3.44T</t>
  </si>
  <si>
    <t>4.28T</t>
  </si>
  <si>
    <t>3.59T</t>
  </si>
  <si>
    <t>4.06T</t>
  </si>
  <si>
    <t>3.34T</t>
  </si>
  <si>
    <t>5.45T</t>
  </si>
  <si>
    <t>3.39T</t>
  </si>
  <si>
    <t>4.39T</t>
  </si>
  <si>
    <t>3.37T</t>
  </si>
  <si>
    <t>3.96T</t>
  </si>
  <si>
    <t>3.27T</t>
  </si>
  <si>
    <t>2.72T</t>
  </si>
  <si>
    <t>3.65T</t>
  </si>
  <si>
    <t>4.92T</t>
  </si>
  <si>
    <t>2.90T</t>
  </si>
  <si>
    <t>8.94T</t>
  </si>
  <si>
    <t>4.17T</t>
  </si>
  <si>
    <t>2.77T</t>
  </si>
  <si>
    <t>2.33T</t>
  </si>
  <si>
    <t>2.60T</t>
  </si>
  <si>
    <t>1.81T</t>
  </si>
  <si>
    <t>2.31T</t>
  </si>
  <si>
    <t>2.46T</t>
  </si>
  <si>
    <t>2.07T</t>
  </si>
  <si>
    <t>5.89T</t>
  </si>
  <si>
    <t>818.77B</t>
  </si>
  <si>
    <t>2.66T</t>
  </si>
  <si>
    <t>1.94T</t>
  </si>
  <si>
    <t>2.06T</t>
  </si>
  <si>
    <t>2.49T</t>
  </si>
  <si>
    <t>713.50B</t>
  </si>
  <si>
    <t>1.76T</t>
  </si>
  <si>
    <t>1.74T</t>
  </si>
  <si>
    <t>974.90B</t>
  </si>
  <si>
    <t>1.28T</t>
  </si>
  <si>
    <t>6.26T</t>
  </si>
  <si>
    <t>901.18B</t>
  </si>
  <si>
    <t>664.74B</t>
  </si>
  <si>
    <t>928.83B</t>
  </si>
  <si>
    <t>970.29B</t>
  </si>
  <si>
    <t>994.89B</t>
  </si>
  <si>
    <t>923.37B</t>
  </si>
  <si>
    <t>786.70B</t>
  </si>
  <si>
    <t>807.06B</t>
  </si>
  <si>
    <t>876.86B</t>
  </si>
  <si>
    <t>849.80B</t>
  </si>
  <si>
    <t>763.54B</t>
  </si>
  <si>
    <t>940.96B</t>
  </si>
  <si>
    <t>881.27B</t>
  </si>
  <si>
    <t>258.59B</t>
  </si>
  <si>
    <t>904.00B</t>
  </si>
  <si>
    <t>648.02B</t>
  </si>
  <si>
    <t>855.57B</t>
  </si>
  <si>
    <t>853.27B</t>
  </si>
  <si>
    <t>696.19B</t>
  </si>
  <si>
    <t>986.80B</t>
  </si>
  <si>
    <t>608.49B</t>
  </si>
  <si>
    <t>800.92B</t>
  </si>
  <si>
    <t>697.66B</t>
  </si>
  <si>
    <t>562.17B</t>
  </si>
  <si>
    <t>852.93B</t>
  </si>
  <si>
    <t>900.57B</t>
  </si>
  <si>
    <t>470.09B</t>
  </si>
  <si>
    <t>753.74B</t>
  </si>
  <si>
    <t>732.38B</t>
  </si>
  <si>
    <t>606.06B</t>
  </si>
  <si>
    <t>747.29B</t>
  </si>
  <si>
    <t>708.59B</t>
  </si>
  <si>
    <t>539.81B</t>
  </si>
  <si>
    <t>536.47B</t>
  </si>
  <si>
    <t>489.53B</t>
  </si>
  <si>
    <t>457.48B</t>
  </si>
  <si>
    <t>583.08B</t>
  </si>
  <si>
    <t>597.89B</t>
  </si>
  <si>
    <t>924.95B</t>
  </si>
  <si>
    <t>511.89B</t>
  </si>
  <si>
    <t>453.98B</t>
  </si>
  <si>
    <t>301.60B</t>
  </si>
  <si>
    <t>518.35B</t>
  </si>
  <si>
    <t>395.97B</t>
  </si>
  <si>
    <t>456.92B</t>
  </si>
  <si>
    <t>833.93B</t>
  </si>
  <si>
    <t>684.82B</t>
  </si>
  <si>
    <t>570.20B</t>
  </si>
  <si>
    <t>534.68B</t>
  </si>
  <si>
    <t>255.71B</t>
  </si>
  <si>
    <t>571.90B</t>
  </si>
  <si>
    <t>193.66B</t>
  </si>
  <si>
    <t>708.09B</t>
  </si>
  <si>
    <t>887.75B</t>
  </si>
  <si>
    <t>474.35B</t>
  </si>
  <si>
    <t>450.30B</t>
  </si>
  <si>
    <t>320.78B</t>
  </si>
  <si>
    <t>491.38B</t>
  </si>
  <si>
    <t>584.73B</t>
  </si>
  <si>
    <t>503.18B</t>
  </si>
  <si>
    <t>572.70B</t>
  </si>
  <si>
    <t>655.73B</t>
  </si>
  <si>
    <t>758.85B</t>
  </si>
  <si>
    <t>298.09B</t>
  </si>
  <si>
    <t>360.49B</t>
  </si>
  <si>
    <t>190.69B</t>
  </si>
  <si>
    <t>421.44B</t>
  </si>
  <si>
    <t>573.24B</t>
  </si>
  <si>
    <t>914.06B</t>
  </si>
  <si>
    <t>343.59B</t>
  </si>
  <si>
    <t>405.00B</t>
  </si>
  <si>
    <t>459.35B</t>
  </si>
  <si>
    <t>485.16B</t>
  </si>
  <si>
    <t>312.06B</t>
  </si>
  <si>
    <t>331.40B</t>
  </si>
  <si>
    <t>322.19B</t>
  </si>
  <si>
    <t>308.08B</t>
  </si>
  <si>
    <t>398.44B</t>
  </si>
  <si>
    <t>315.72B</t>
  </si>
  <si>
    <t>652.85B</t>
  </si>
  <si>
    <t>330.96B</t>
  </si>
  <si>
    <t>347.47B</t>
  </si>
  <si>
    <t>190.63B</t>
  </si>
  <si>
    <t>335.60B</t>
  </si>
  <si>
    <t>391.36B</t>
  </si>
  <si>
    <t>281.19B</t>
  </si>
  <si>
    <t>122.97B</t>
  </si>
  <si>
    <t>404.72B</t>
  </si>
  <si>
    <t>328.89B</t>
  </si>
  <si>
    <t>148.27B</t>
  </si>
  <si>
    <t>386.11B</t>
  </si>
  <si>
    <t>245.86B</t>
  </si>
  <si>
    <t>552.01B</t>
  </si>
  <si>
    <t>273.78B</t>
  </si>
  <si>
    <t>338.70B</t>
  </si>
  <si>
    <t>564.70B</t>
  </si>
  <si>
    <t>525.78B</t>
  </si>
  <si>
    <t>411.86B</t>
  </si>
  <si>
    <t>550.57B</t>
  </si>
  <si>
    <t>536.87B</t>
  </si>
  <si>
    <t>686.39B</t>
  </si>
  <si>
    <t>217.36B</t>
  </si>
  <si>
    <t>2.85T</t>
  </si>
  <si>
    <t>318.08B</t>
  </si>
  <si>
    <t>897.97B</t>
  </si>
  <si>
    <t>187.06B</t>
  </si>
  <si>
    <t>355.68B</t>
  </si>
  <si>
    <t>211.46B</t>
  </si>
  <si>
    <t>160.03B</t>
  </si>
  <si>
    <t>54.01B</t>
  </si>
  <si>
    <t>855.10B</t>
  </si>
  <si>
    <t>127.89B</t>
  </si>
  <si>
    <t>264.57B</t>
  </si>
  <si>
    <t>236.35B</t>
  </si>
  <si>
    <t>239.22B</t>
  </si>
  <si>
    <t>146.51B</t>
  </si>
  <si>
    <t>130.92B</t>
  </si>
  <si>
    <t>154.09B</t>
  </si>
  <si>
    <t>648.97B</t>
  </si>
  <si>
    <t>228.55B</t>
  </si>
  <si>
    <t>230.72B</t>
  </si>
  <si>
    <t>128.23B</t>
  </si>
  <si>
    <t>125.59B</t>
  </si>
  <si>
    <t>250.17B</t>
  </si>
  <si>
    <t>126.70B</t>
  </si>
  <si>
    <t>143.80B</t>
  </si>
  <si>
    <t>90.73B</t>
  </si>
  <si>
    <t>456.36B</t>
  </si>
  <si>
    <t>98.19B</t>
  </si>
  <si>
    <t>263.98B</t>
  </si>
  <si>
    <t>75.13B</t>
  </si>
  <si>
    <t>184.50B</t>
  </si>
  <si>
    <t>162.75B</t>
  </si>
  <si>
    <t>37.18B</t>
  </si>
  <si>
    <t>84.37B</t>
  </si>
  <si>
    <t>308.75B</t>
  </si>
  <si>
    <t>50.15B</t>
  </si>
  <si>
    <t>855.70B</t>
  </si>
  <si>
    <t>370.26B</t>
  </si>
  <si>
    <t>85.20B</t>
  </si>
  <si>
    <t>97.55B</t>
  </si>
  <si>
    <t>48.78B</t>
  </si>
  <si>
    <t>149.59B</t>
  </si>
  <si>
    <t>52.19B</t>
  </si>
  <si>
    <t>52.03B</t>
  </si>
  <si>
    <t>117.42B</t>
  </si>
  <si>
    <t>54.56B</t>
  </si>
  <si>
    <t>74.55B</t>
  </si>
  <si>
    <t>146.76B</t>
  </si>
  <si>
    <t>86.92B</t>
  </si>
  <si>
    <t>912.30B</t>
  </si>
  <si>
    <t>249.64B</t>
  </si>
  <si>
    <t>31.26B</t>
  </si>
  <si>
    <t>143.30B</t>
  </si>
  <si>
    <t>98.30B</t>
  </si>
  <si>
    <t>40.66B</t>
  </si>
  <si>
    <t>94.39B</t>
  </si>
  <si>
    <t>136.26B</t>
  </si>
  <si>
    <t>404.49B</t>
  </si>
  <si>
    <t>47.07B</t>
  </si>
  <si>
    <t>39.34B</t>
  </si>
  <si>
    <t>52.08B</t>
  </si>
  <si>
    <t>51.44B</t>
  </si>
  <si>
    <t>17.53B</t>
  </si>
  <si>
    <t>104.66B</t>
  </si>
  <si>
    <t>46.88B</t>
  </si>
  <si>
    <t>273.04B</t>
  </si>
  <si>
    <t>39.87B</t>
  </si>
  <si>
    <t>5.22B</t>
  </si>
  <si>
    <t>73.68B</t>
  </si>
  <si>
    <t>347.84B</t>
  </si>
  <si>
    <t>33.51B</t>
  </si>
  <si>
    <t>7.06B</t>
  </si>
  <si>
    <t>892.50B</t>
  </si>
  <si>
    <t>4.16B</t>
  </si>
  <si>
    <t>3.91B</t>
  </si>
  <si>
    <t>85.80B</t>
  </si>
  <si>
    <t>170.65B</t>
  </si>
  <si>
    <t>7.04B</t>
  </si>
  <si>
    <t>3.39B</t>
  </si>
  <si>
    <t>2.20B</t>
  </si>
  <si>
    <t>3.17B</t>
  </si>
  <si>
    <t>3.67B</t>
  </si>
  <si>
    <t>1.22B</t>
  </si>
  <si>
    <t>690.76M</t>
  </si>
  <si>
    <t>851.95M</t>
  </si>
  <si>
    <t>531.54B</t>
  </si>
  <si>
    <t>915.78M</t>
  </si>
  <si>
    <t>809.96M</t>
  </si>
  <si>
    <t>1.15B</t>
  </si>
  <si>
    <t>158.64B</t>
  </si>
  <si>
    <t>557.05M</t>
  </si>
  <si>
    <t>599.79M</t>
  </si>
  <si>
    <t>669.88M</t>
  </si>
  <si>
    <t>602.20M</t>
  </si>
  <si>
    <t>579.07M</t>
  </si>
  <si>
    <t>709.42M</t>
  </si>
  <si>
    <t>467.99M</t>
  </si>
  <si>
    <t>275.02M</t>
  </si>
  <si>
    <t>415.10M</t>
  </si>
  <si>
    <t>280.68M</t>
  </si>
  <si>
    <t>701.05M</t>
  </si>
  <si>
    <t>411.22M</t>
  </si>
  <si>
    <t>350.06M</t>
  </si>
  <si>
    <t>321.85M</t>
  </si>
  <si>
    <t>797.81M</t>
  </si>
  <si>
    <t>296.40M</t>
  </si>
  <si>
    <t>292.13M</t>
  </si>
  <si>
    <t>501.88M</t>
  </si>
  <si>
    <t>239.71M</t>
  </si>
  <si>
    <t>431.54M</t>
  </si>
  <si>
    <t>346.31M</t>
  </si>
  <si>
    <t>329.98M</t>
  </si>
  <si>
    <t>238.25M</t>
  </si>
  <si>
    <t>236.41M</t>
  </si>
  <si>
    <t>156.67M</t>
  </si>
  <si>
    <t>195.83M</t>
  </si>
  <si>
    <t>245.10M</t>
  </si>
  <si>
    <t>625.09B</t>
  </si>
  <si>
    <t>187.92M</t>
  </si>
  <si>
    <t>197.36M</t>
  </si>
  <si>
    <t>155.65M</t>
  </si>
  <si>
    <t>151.33M</t>
  </si>
  <si>
    <t>85.69M</t>
  </si>
  <si>
    <t>125.72M</t>
  </si>
  <si>
    <t>190.95M</t>
  </si>
  <si>
    <t>111.48M</t>
  </si>
  <si>
    <t>147.78M</t>
  </si>
  <si>
    <t>173.51M</t>
  </si>
  <si>
    <t>88.32M</t>
  </si>
  <si>
    <t>126.02M</t>
  </si>
  <si>
    <t>63.38M</t>
  </si>
  <si>
    <t>117.27M</t>
  </si>
  <si>
    <t>68.44M</t>
  </si>
  <si>
    <t>71.35M</t>
  </si>
  <si>
    <t>101.19M</t>
  </si>
  <si>
    <t>111.92M</t>
  </si>
  <si>
    <t>93.61M</t>
  </si>
  <si>
    <t>287.58M</t>
  </si>
  <si>
    <t>58.22M</t>
  </si>
  <si>
    <t>62.59M</t>
  </si>
  <si>
    <t>62.03M</t>
  </si>
  <si>
    <t>37.91M</t>
  </si>
  <si>
    <t>47.49M</t>
  </si>
  <si>
    <t>24.94M</t>
  </si>
  <si>
    <t>351.96T</t>
  </si>
  <si>
    <t>221.21T</t>
  </si>
  <si>
    <t>96.20T</t>
  </si>
  <si>
    <t>111.71T</t>
  </si>
  <si>
    <t>78.65T</t>
  </si>
  <si>
    <t>122.59T</t>
  </si>
  <si>
    <t>62.73T</t>
  </si>
  <si>
    <t>99.68T</t>
  </si>
  <si>
    <t>62.81T</t>
  </si>
  <si>
    <t>55.08T</t>
  </si>
  <si>
    <t>79.81T</t>
  </si>
  <si>
    <t>50.90T</t>
  </si>
  <si>
    <t>54.54T</t>
  </si>
  <si>
    <t>34.91T</t>
  </si>
  <si>
    <t>62.11T</t>
  </si>
  <si>
    <t>56.13T</t>
  </si>
  <si>
    <t>27.71T</t>
  </si>
  <si>
    <t>30.19T</t>
  </si>
  <si>
    <t>36.20T</t>
  </si>
  <si>
    <t>38.71T</t>
  </si>
  <si>
    <t>29.46T</t>
  </si>
  <si>
    <t>44.70T</t>
  </si>
  <si>
    <t>26.66T</t>
  </si>
  <si>
    <t>26.97T</t>
  </si>
  <si>
    <t>29.35T</t>
  </si>
  <si>
    <t>14.91T</t>
  </si>
  <si>
    <t>30.87T</t>
  </si>
  <si>
    <t>24.44T</t>
  </si>
  <si>
    <t>26.10T</t>
  </si>
  <si>
    <t>17.54T</t>
  </si>
  <si>
    <t>21.89T</t>
  </si>
  <si>
    <t>36.52T</t>
  </si>
  <si>
    <t>19.57T</t>
  </si>
  <si>
    <t>23.99T</t>
  </si>
  <si>
    <t>26.65T</t>
  </si>
  <si>
    <t>27.67T</t>
  </si>
  <si>
    <t>18.86T</t>
  </si>
  <si>
    <t>20.65T</t>
  </si>
  <si>
    <t>15.80T</t>
  </si>
  <si>
    <t>21.41T</t>
  </si>
  <si>
    <t>20.26T</t>
  </si>
  <si>
    <t>9.56T</t>
  </si>
  <si>
    <t>8.40T</t>
  </si>
  <si>
    <t>16.02T</t>
  </si>
  <si>
    <t>16.13T</t>
  </si>
  <si>
    <t>17.84T</t>
  </si>
  <si>
    <t>12.33T</t>
  </si>
  <si>
    <t>28.57T</t>
  </si>
  <si>
    <t>11.16T</t>
  </si>
  <si>
    <t>16.15T</t>
  </si>
  <si>
    <t>17.00T</t>
  </si>
  <si>
    <t>19.04T</t>
  </si>
  <si>
    <t>7.17T</t>
  </si>
  <si>
    <t>17.36T</t>
  </si>
  <si>
    <t>14.78T</t>
  </si>
  <si>
    <t>17.28T</t>
  </si>
  <si>
    <t>13.94T</t>
  </si>
  <si>
    <t>13.79T</t>
  </si>
  <si>
    <t>20.36T</t>
  </si>
  <si>
    <t>10.23T</t>
  </si>
  <si>
    <t>18.01T</t>
  </si>
  <si>
    <t>10.75T</t>
  </si>
  <si>
    <t>2.96T</t>
  </si>
  <si>
    <t>11.62T</t>
  </si>
  <si>
    <t>15.45T</t>
  </si>
  <si>
    <t>7.62T</t>
  </si>
  <si>
    <t>5.76T</t>
  </si>
  <si>
    <t>6.05T</t>
  </si>
  <si>
    <t>9.75T</t>
  </si>
  <si>
    <t>6.00T</t>
  </si>
  <si>
    <t>10.22T</t>
  </si>
  <si>
    <t>8.09T</t>
  </si>
  <si>
    <t>11.85T</t>
  </si>
  <si>
    <t>8.70T</t>
  </si>
  <si>
    <t>8.57T</t>
  </si>
  <si>
    <t>3.82T</t>
  </si>
  <si>
    <t>7.28T</t>
  </si>
  <si>
    <t>8.37T</t>
  </si>
  <si>
    <t>14.36T</t>
  </si>
  <si>
    <t>7.77T</t>
  </si>
  <si>
    <t>6.88T</t>
  </si>
  <si>
    <t>6.42T</t>
  </si>
  <si>
    <t>7.02T</t>
  </si>
  <si>
    <t>5.86T</t>
  </si>
  <si>
    <t>12.22T</t>
  </si>
  <si>
    <t>8.74T</t>
  </si>
  <si>
    <t>8.89T</t>
  </si>
  <si>
    <t>7.99T</t>
  </si>
  <si>
    <t>4.83T</t>
  </si>
  <si>
    <t>6.72T</t>
  </si>
  <si>
    <t>423.79B</t>
  </si>
  <si>
    <t>10.34T</t>
  </si>
  <si>
    <t>18.35T</t>
  </si>
  <si>
    <t>12.55T</t>
  </si>
  <si>
    <t>5.57T</t>
  </si>
  <si>
    <t>4.23T</t>
  </si>
  <si>
    <t>4.99T</t>
  </si>
  <si>
    <t>6.58T</t>
  </si>
  <si>
    <t>7.74T</t>
  </si>
  <si>
    <t>5.58T</t>
  </si>
  <si>
    <t>4.93T</t>
  </si>
  <si>
    <t>6.76T</t>
  </si>
  <si>
    <t>6.11T</t>
  </si>
  <si>
    <t>5.59T</t>
  </si>
  <si>
    <t>5.63T</t>
  </si>
  <si>
    <t>4.08T</t>
  </si>
  <si>
    <t>4.10T</t>
  </si>
  <si>
    <t>3.91T</t>
  </si>
  <si>
    <t>4.35T</t>
  </si>
  <si>
    <t>4.70T</t>
  </si>
  <si>
    <t>3.21T</t>
  </si>
  <si>
    <t>3.53T</t>
  </si>
  <si>
    <t>6.06T</t>
  </si>
  <si>
    <t>4.19T</t>
  </si>
  <si>
    <t>3.00T</t>
  </si>
  <si>
    <t>4.68T</t>
  </si>
  <si>
    <t>4.62T</t>
  </si>
  <si>
    <t>5.83T</t>
  </si>
  <si>
    <t>479.27B</t>
  </si>
  <si>
    <t>10.45T</t>
  </si>
  <si>
    <t>4.40T</t>
  </si>
  <si>
    <t>3.72T</t>
  </si>
  <si>
    <t>3.11T</t>
  </si>
  <si>
    <t>2.55T</t>
  </si>
  <si>
    <t>6.20T</t>
  </si>
  <si>
    <t>615.37B</t>
  </si>
  <si>
    <t>863.89B</t>
  </si>
  <si>
    <t>4.15T</t>
  </si>
  <si>
    <t>3.69T</t>
  </si>
  <si>
    <t>11.23B</t>
  </si>
  <si>
    <t>1.80T</t>
  </si>
  <si>
    <t>1.83T</t>
  </si>
  <si>
    <t>1.48T</t>
  </si>
  <si>
    <t>2.14T</t>
  </si>
  <si>
    <t>5.73T</t>
  </si>
  <si>
    <t>936.70B</t>
  </si>
  <si>
    <t>7.76T</t>
  </si>
  <si>
    <t>836.87B</t>
  </si>
  <si>
    <t>722.90B</t>
  </si>
  <si>
    <t>950.64B</t>
  </si>
  <si>
    <t>895.68B</t>
  </si>
  <si>
    <t>737.64B</t>
  </si>
  <si>
    <t>937.64B</t>
  </si>
  <si>
    <t>863.15B</t>
  </si>
  <si>
    <t>867.07B</t>
  </si>
  <si>
    <t>830.01B</t>
  </si>
  <si>
    <t>891.87B</t>
  </si>
  <si>
    <t>822.38B</t>
  </si>
  <si>
    <t>901.06B</t>
  </si>
  <si>
    <t>479.50B</t>
  </si>
  <si>
    <t>952.50B</t>
  </si>
  <si>
    <t>591.06B</t>
  </si>
  <si>
    <t>652.35B</t>
  </si>
  <si>
    <t>968.23B</t>
  </si>
  <si>
    <t>579.81B</t>
  </si>
  <si>
    <t>688.02B</t>
  </si>
  <si>
    <t>962.03B</t>
  </si>
  <si>
    <t>668.86B</t>
  </si>
  <si>
    <t>815.20B</t>
  </si>
  <si>
    <t>763.49B</t>
  </si>
  <si>
    <t>514.77B</t>
  </si>
  <si>
    <t>871.51B</t>
  </si>
  <si>
    <t>464.54B</t>
  </si>
  <si>
    <t>756.29B</t>
  </si>
  <si>
    <t>742.30B</t>
  </si>
  <si>
    <t>790.85B</t>
  </si>
  <si>
    <t>691.51B</t>
  </si>
  <si>
    <t>487.34B</t>
  </si>
  <si>
    <t>666.31B</t>
  </si>
  <si>
    <t>539.92B</t>
  </si>
  <si>
    <t>460.49B</t>
  </si>
  <si>
    <t>659.07B</t>
  </si>
  <si>
    <t>622.05B</t>
  </si>
  <si>
    <t>918.88B</t>
  </si>
  <si>
    <t>532.76B</t>
  </si>
  <si>
    <t>379.57B</t>
  </si>
  <si>
    <t>324.92B</t>
  </si>
  <si>
    <t>418.50B</t>
  </si>
  <si>
    <t>369.07B</t>
  </si>
  <si>
    <t>451.21B</t>
  </si>
  <si>
    <t>728.12B</t>
  </si>
  <si>
    <t>617.59B</t>
  </si>
  <si>
    <t>467.73B</t>
  </si>
  <si>
    <t>217.82B</t>
  </si>
  <si>
    <t>579.94B</t>
  </si>
  <si>
    <t>136.43B</t>
  </si>
  <si>
    <t>725.63B</t>
  </si>
  <si>
    <t>925.11B</t>
  </si>
  <si>
    <t>527.47B</t>
  </si>
  <si>
    <t>490.86B</t>
  </si>
  <si>
    <t>351.48B</t>
  </si>
  <si>
    <t>521.49B</t>
  </si>
  <si>
    <t>590.88B</t>
  </si>
  <si>
    <t>419.26B</t>
  </si>
  <si>
    <t>691.32B</t>
  </si>
  <si>
    <t>848.68B</t>
  </si>
  <si>
    <t>384.48B</t>
  </si>
  <si>
    <t>468.81B</t>
  </si>
  <si>
    <t>186.93B</t>
  </si>
  <si>
    <t>413.57B</t>
  </si>
  <si>
    <t>543.26B</t>
  </si>
  <si>
    <t>923.79B</t>
  </si>
  <si>
    <t>340.07B</t>
  </si>
  <si>
    <t>391.48B</t>
  </si>
  <si>
    <t>521.66B</t>
  </si>
  <si>
    <t>740.43B</t>
  </si>
  <si>
    <t>302.64B</t>
  </si>
  <si>
    <t>269.60B</t>
  </si>
  <si>
    <t>318.14B</t>
  </si>
  <si>
    <t>352.51B</t>
  </si>
  <si>
    <t>538.64B</t>
  </si>
  <si>
    <t>343.52B</t>
  </si>
  <si>
    <t>834.22B</t>
  </si>
  <si>
    <t>278.24B</t>
  </si>
  <si>
    <t>451.91B</t>
  </si>
  <si>
    <t>180.63B</t>
  </si>
  <si>
    <t>333.49B</t>
  </si>
  <si>
    <t>405.45B</t>
  </si>
  <si>
    <t>90.10B</t>
  </si>
  <si>
    <t>329.92B</t>
  </si>
  <si>
    <t>57.16B</t>
  </si>
  <si>
    <t>695.85B</t>
  </si>
  <si>
    <t>306.78B</t>
  </si>
  <si>
    <t>421.90B</t>
  </si>
  <si>
    <t>365.14B</t>
  </si>
  <si>
    <t>924.85B</t>
  </si>
  <si>
    <t>587.50B</t>
  </si>
  <si>
    <t>730.50B</t>
  </si>
  <si>
    <t>605.69B</t>
  </si>
  <si>
    <t>871.64B</t>
  </si>
  <si>
    <t>732.96B</t>
  </si>
  <si>
    <t>143.14B</t>
  </si>
  <si>
    <t>230.56B</t>
  </si>
  <si>
    <t>2.61T</t>
  </si>
  <si>
    <t>441.25B</t>
  </si>
  <si>
    <t>806.59B</t>
  </si>
  <si>
    <t>190.79B</t>
  </si>
  <si>
    <t>447.81B</t>
  </si>
  <si>
    <t>264.49B</t>
  </si>
  <si>
    <t>147.09B</t>
  </si>
  <si>
    <t>741.82B</t>
  </si>
  <si>
    <t>71.66B</t>
  </si>
  <si>
    <t>193.20B</t>
  </si>
  <si>
    <t>273.74B</t>
  </si>
  <si>
    <t>329.96B</t>
  </si>
  <si>
    <t>132.37B</t>
  </si>
  <si>
    <t>127.41B</t>
  </si>
  <si>
    <t>152.82B</t>
  </si>
  <si>
    <t>604.82B</t>
  </si>
  <si>
    <t>346.00B</t>
  </si>
  <si>
    <t>255.33B</t>
  </si>
  <si>
    <t>114.39B</t>
  </si>
  <si>
    <t>275.49B</t>
  </si>
  <si>
    <t>118.59B</t>
  </si>
  <si>
    <t>401.16B</t>
  </si>
  <si>
    <t>107.76B</t>
  </si>
  <si>
    <t>432.38B</t>
  </si>
  <si>
    <t>246.54B</t>
  </si>
  <si>
    <t>345.98B</t>
  </si>
  <si>
    <t>76.46B</t>
  </si>
  <si>
    <t>362.56B</t>
  </si>
  <si>
    <t>250.44B</t>
  </si>
  <si>
    <t>8.28B</t>
  </si>
  <si>
    <t>90.21B</t>
  </si>
  <si>
    <t>934.94B</t>
  </si>
  <si>
    <t>59.42B</t>
  </si>
  <si>
    <t>568.98B</t>
  </si>
  <si>
    <t>251.84B</t>
  </si>
  <si>
    <t>157.17B</t>
  </si>
  <si>
    <t>47.36B</t>
  </si>
  <si>
    <t>119.71B</t>
  </si>
  <si>
    <t>49.42B</t>
  </si>
  <si>
    <t>352.57B</t>
  </si>
  <si>
    <t>124.74B</t>
  </si>
  <si>
    <t>221.94B</t>
  </si>
  <si>
    <t>542.81B</t>
  </si>
  <si>
    <t>148.86B</t>
  </si>
  <si>
    <t>911.55B</t>
  </si>
  <si>
    <t>274.53B</t>
  </si>
  <si>
    <t>143.90B</t>
  </si>
  <si>
    <t>107.36B</t>
  </si>
  <si>
    <t>75.61B</t>
  </si>
  <si>
    <t>98.89B</t>
  </si>
  <si>
    <t>325.43B</t>
  </si>
  <si>
    <t>472.48B</t>
  </si>
  <si>
    <t>60.84B</t>
  </si>
  <si>
    <t>67.67B</t>
  </si>
  <si>
    <t>92.50B</t>
  </si>
  <si>
    <t>230.67B</t>
  </si>
  <si>
    <t>50.99B</t>
  </si>
  <si>
    <t>607.02B</t>
  </si>
  <si>
    <t>41.59B</t>
  </si>
  <si>
    <t>5.58B</t>
  </si>
  <si>
    <t>105.63B</t>
  </si>
  <si>
    <t>357.45B</t>
  </si>
  <si>
    <t>710.35B</t>
  </si>
  <si>
    <t>8.50B</t>
  </si>
  <si>
    <t>7.22B</t>
  </si>
  <si>
    <t>898.91B</t>
  </si>
  <si>
    <t>4.46B</t>
  </si>
  <si>
    <t>83.53B</t>
  </si>
  <si>
    <t>400.30B</t>
  </si>
  <si>
    <t>7.18B</t>
  </si>
  <si>
    <t>3.06B</t>
  </si>
  <si>
    <t>2.22B</t>
  </si>
  <si>
    <t>3.45B</t>
  </si>
  <si>
    <t>3.62B</t>
  </si>
  <si>
    <t>1.25B</t>
  </si>
  <si>
    <t>713.01M</t>
  </si>
  <si>
    <t>854.23M</t>
  </si>
  <si>
    <t>1.56B</t>
  </si>
  <si>
    <t>991.16M</t>
  </si>
  <si>
    <t>753.56M</t>
  </si>
  <si>
    <t>237.79B</t>
  </si>
  <si>
    <t>451.10M</t>
  </si>
  <si>
    <t>517.23M</t>
  </si>
  <si>
    <t>688.22M</t>
  </si>
  <si>
    <t>625.71M</t>
  </si>
  <si>
    <t>658.39M</t>
  </si>
  <si>
    <t>756.39M</t>
  </si>
  <si>
    <t>447.00M</t>
  </si>
  <si>
    <t>247.74M</t>
  </si>
  <si>
    <t>549.52M</t>
  </si>
  <si>
    <t>255.23M</t>
  </si>
  <si>
    <t>780.65M</t>
  </si>
  <si>
    <t>480.89M</t>
  </si>
  <si>
    <t>363.95M</t>
  </si>
  <si>
    <t>313.57M</t>
  </si>
  <si>
    <t>951.25M</t>
  </si>
  <si>
    <t>279.48M</t>
  </si>
  <si>
    <t>277.54M</t>
  </si>
  <si>
    <t>634.64M</t>
  </si>
  <si>
    <t>218.14M</t>
  </si>
  <si>
    <t>426.27M</t>
  </si>
  <si>
    <t>266.02M</t>
  </si>
  <si>
    <t>550.84M</t>
  </si>
  <si>
    <t>242.05M</t>
  </si>
  <si>
    <t>219.76M</t>
  </si>
  <si>
    <t>150.94M</t>
  </si>
  <si>
    <t>165.73M</t>
  </si>
  <si>
    <t>250.68M</t>
  </si>
  <si>
    <t>811.46B</t>
  </si>
  <si>
    <t>191.65M</t>
  </si>
  <si>
    <t>203.85M</t>
  </si>
  <si>
    <t>172.32M</t>
  </si>
  <si>
    <t>160.18M</t>
  </si>
  <si>
    <t>77.50M</t>
  </si>
  <si>
    <t>147.89M</t>
  </si>
  <si>
    <t>153.99M</t>
  </si>
  <si>
    <t>111.64M</t>
  </si>
  <si>
    <t>151.69M</t>
  </si>
  <si>
    <t>192.53M</t>
  </si>
  <si>
    <t>85.03M</t>
  </si>
  <si>
    <t>120.36M</t>
  </si>
  <si>
    <t>126.35M</t>
  </si>
  <si>
    <t>61.10M</t>
  </si>
  <si>
    <t>67.41M</t>
  </si>
  <si>
    <t>105.04M</t>
  </si>
  <si>
    <t>123.44M</t>
  </si>
  <si>
    <t>161.25M</t>
  </si>
  <si>
    <t>55.05M</t>
  </si>
  <si>
    <t>71.42M</t>
  </si>
  <si>
    <t>61.11M</t>
  </si>
  <si>
    <t>36.11M</t>
  </si>
  <si>
    <t>43.90M</t>
  </si>
  <si>
    <t>20.92M</t>
  </si>
  <si>
    <t>27.86M</t>
  </si>
  <si>
    <t>Investable Universe (478)</t>
  </si>
  <si>
    <t>3.21%</t>
  </si>
  <si>
    <t>2.36%</t>
  </si>
  <si>
    <t>2.29%</t>
  </si>
  <si>
    <t>1.33%</t>
  </si>
  <si>
    <t>Investable Universe (498)</t>
  </si>
  <si>
    <t>29.04%</t>
  </si>
  <si>
    <t>31.51%</t>
  </si>
  <si>
    <t>30.12%</t>
  </si>
  <si>
    <t>1.17k%</t>
  </si>
  <si>
    <t>1.57k%</t>
  </si>
  <si>
    <t>1.33k%</t>
  </si>
  <si>
    <t>41.81%</t>
  </si>
  <si>
    <t>2.13k%</t>
  </si>
  <si>
    <t>5.96k%</t>
  </si>
  <si>
    <t>Jlh Lembar Saham</t>
  </si>
  <si>
    <t>ACES</t>
  </si>
  <si>
    <t>LIQ</t>
  </si>
  <si>
    <t>ROA</t>
  </si>
  <si>
    <t>LEV</t>
  </si>
  <si>
    <t>SGRW</t>
  </si>
  <si>
    <t>SIZE</t>
  </si>
  <si>
    <t>DPR</t>
  </si>
  <si>
    <t>ACST</t>
  </si>
  <si>
    <t>ADRO</t>
  </si>
  <si>
    <t>ADHI</t>
  </si>
  <si>
    <t>ASSA</t>
  </si>
  <si>
    <t>AKRA</t>
  </si>
  <si>
    <t>AALI</t>
  </si>
  <si>
    <t>ASII</t>
  </si>
  <si>
    <t>AUTO</t>
  </si>
  <si>
    <t>ANJT</t>
  </si>
  <si>
    <t>BIRD</t>
  </si>
  <si>
    <t>BUDI</t>
  </si>
  <si>
    <t>PTBA</t>
  </si>
  <si>
    <t>TPIA</t>
  </si>
  <si>
    <t>CPIN</t>
  </si>
  <si>
    <t>DVLA</t>
  </si>
  <si>
    <t>DLTA</t>
  </si>
  <si>
    <t>DSNG</t>
  </si>
  <si>
    <t>GEMA</t>
  </si>
  <si>
    <t>HEXA</t>
  </si>
  <si>
    <t>HMSP</t>
  </si>
  <si>
    <t>ITMG</t>
  </si>
  <si>
    <t>INTP</t>
  </si>
  <si>
    <t>ICBP</t>
  </si>
  <si>
    <t>INDF</t>
  </si>
  <si>
    <t>IPOL</t>
  </si>
  <si>
    <t>INDS</t>
  </si>
  <si>
    <t>SIDO</t>
  </si>
  <si>
    <t>JPFA</t>
  </si>
  <si>
    <t>JSMR</t>
  </si>
  <si>
    <t>JTPE</t>
  </si>
  <si>
    <t>JRPT</t>
  </si>
  <si>
    <t>KBLM</t>
  </si>
  <si>
    <t>KLBF</t>
  </si>
  <si>
    <t>KBLI</t>
  </si>
  <si>
    <t>LTLS</t>
  </si>
  <si>
    <t>LPKR</t>
  </si>
  <si>
    <t>MAIN</t>
  </si>
  <si>
    <t>LPPF</t>
  </si>
  <si>
    <t>MYOR</t>
  </si>
  <si>
    <t>MERK</t>
  </si>
  <si>
    <t>MPMX</t>
  </si>
  <si>
    <t>MICE</t>
  </si>
  <si>
    <t>NRCA</t>
  </si>
  <si>
    <t>TKIM</t>
  </si>
  <si>
    <t>LSIP</t>
  </si>
  <si>
    <t>DMAS</t>
  </si>
  <si>
    <t>RALS</t>
  </si>
  <si>
    <t>KKGI</t>
  </si>
  <si>
    <t>SIMP</t>
  </si>
  <si>
    <t>MYOH</t>
  </si>
  <si>
    <t>SMDR</t>
  </si>
  <si>
    <t>TOWR</t>
  </si>
  <si>
    <t>SMSM</t>
  </si>
  <si>
    <t>SMBR</t>
  </si>
  <si>
    <t>SMRA</t>
  </si>
  <si>
    <t>SSIA</t>
  </si>
  <si>
    <t>TOTO</t>
  </si>
  <si>
    <t>TOBA</t>
  </si>
  <si>
    <t>TMAS</t>
  </si>
  <si>
    <t>TINS</t>
  </si>
  <si>
    <t>TOTL</t>
  </si>
  <si>
    <t>TBIG</t>
  </si>
  <si>
    <t>TURI</t>
  </si>
  <si>
    <t>UNVR</t>
  </si>
  <si>
    <t>UNTR</t>
  </si>
  <si>
    <t>WSKT</t>
  </si>
  <si>
    <t>WTON</t>
  </si>
  <si>
    <t>WIKA</t>
  </si>
  <si>
    <t>CEKA</t>
  </si>
  <si>
    <t>INV</t>
  </si>
  <si>
    <t/>
  </si>
  <si>
    <t>N</t>
  </si>
  <si>
    <t>Mean</t>
  </si>
  <si>
    <t>Std. Deviation</t>
  </si>
  <si>
    <t>One-Sample Kolmogorov-Smirnov Test</t>
  </si>
  <si>
    <t>Unstandardized Residual</t>
  </si>
  <si>
    <t>Most Extreme Differences</t>
  </si>
  <si>
    <t>Absolute</t>
  </si>
  <si>
    <t>Positive</t>
  </si>
  <si>
    <t>Negative</t>
  </si>
  <si>
    <t>Test Statistic</t>
  </si>
  <si>
    <t>Asymp. Sig. (2-tailed)</t>
  </si>
  <si>
    <t>a. Test distribution is Normal.</t>
  </si>
  <si>
    <t>b. Calculated from data.</t>
  </si>
  <si>
    <t>c. Lilliefors Significance Correction.</t>
  </si>
  <si>
    <r>
      <t>Normal Parameters</t>
    </r>
    <r>
      <rPr>
        <vertAlign val="superscript"/>
        <sz val="9"/>
        <color indexed="62"/>
        <rFont val="Arial"/>
      </rPr>
      <t>a,b</t>
    </r>
  </si>
  <si>
    <r>
      <t>.080</t>
    </r>
    <r>
      <rPr>
        <vertAlign val="superscript"/>
        <sz val="9"/>
        <color indexed="60"/>
        <rFont val="Arial"/>
      </rPr>
      <t>c</t>
    </r>
  </si>
  <si>
    <t>Coefficientsa,b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</si>
  <si>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</si>
  <si>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</si>
  <si>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</si>
  <si>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</si>
  <si>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</si>
  <si>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</si>
  <si>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</si>
  <si>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</si>
  <si>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Ln_LagX1</t>
  </si>
  <si>
    <t>Ln_LagZ1</t>
  </si>
  <si>
    <t>Ln_LagZ2</t>
  </si>
  <si>
    <t>Ln_LagZ3</t>
  </si>
  <si>
    <t>Ln_LagZ4</t>
  </si>
  <si>
    <t>Ln_LagZ5</t>
  </si>
  <si>
    <t>a Dependent Variable: Abs_Res</t>
  </si>
  <si>
    <t>b Linear Regression through the Origin</t>
  </si>
  <si>
    <t>Model Summaryc,d</t>
  </si>
  <si>
    <t>R</t>
  </si>
  <si>
    <t>R Squareb</t>
  </si>
  <si>
    <t>Adjusted R Square</t>
  </si>
  <si>
    <t>Std. Error of the Estimate</t>
  </si>
  <si>
    <t>Change Statistics</t>
  </si>
  <si>
    <t>Durbin-Watson</t>
  </si>
  <si>
    <t>R Square Change</t>
  </si>
  <si>
    <t>F Change</t>
  </si>
  <si>
    <t>df1</t>
  </si>
  <si>
    <t>df2</t>
  </si>
  <si>
    <t>Sig. F Change</t>
  </si>
  <si>
    <t>.982a</t>
  </si>
  <si>
    <t>a Predictors: Ln_LagZ5, Ln_LagZ2, Ln_LagZ1, Ln_LagZ3, Ln_LagZ4, Ln_LagX1</t>
  </si>
  <si>
    <t>1</t>
  </si>
  <si>
    <t>b. For regression through the origin (the no-intercept model), R Square measures the proportion of the variability in the dependent variable about the origin explained by regression. This CANNOT be compared to R Square for models which include an intercept.</t>
  </si>
  <si>
    <t>c. Dependent Variable: Ln_LagY1</t>
  </si>
  <si>
    <t>d. Linear Regression through the Origin</t>
  </si>
  <si>
    <r>
      <t>Model Summary</t>
    </r>
    <r>
      <rPr>
        <b/>
        <vertAlign val="superscript"/>
        <sz val="11"/>
        <color indexed="60"/>
        <rFont val="Arial Bold"/>
      </rPr>
      <t>c,d</t>
    </r>
  </si>
  <si>
    <r>
      <t>R Square</t>
    </r>
    <r>
      <rPr>
        <vertAlign val="superscript"/>
        <sz val="9"/>
        <color indexed="62"/>
        <rFont val="Arial"/>
      </rPr>
      <t>b</t>
    </r>
  </si>
  <si>
    <t>a. Predictors: Ln_LagZ5, Ln_LagZ2, Ln_LagZ1, Ln_LagZ3, Ln_LagZ4, Ln_LagX1</t>
  </si>
  <si>
    <r>
      <t>.982</t>
    </r>
    <r>
      <rPr>
        <vertAlign val="superscript"/>
        <sz val="9"/>
        <color indexed="60"/>
        <rFont val="Arial"/>
      </rPr>
      <t>a</t>
    </r>
  </si>
  <si>
    <t>Sum of Squares</t>
  </si>
  <si>
    <t>df</t>
  </si>
  <si>
    <t>Mean Square</t>
  </si>
  <si>
    <t>F</t>
  </si>
  <si>
    <t>Regression</t>
  </si>
  <si>
    <t>Residual</t>
  </si>
  <si>
    <t>Total</t>
  </si>
  <si>
    <t>ANOVAa,b</t>
  </si>
  <si>
    <t>.000c</t>
  </si>
  <si>
    <t>28.962d</t>
  </si>
  <si>
    <t>a Dependent Variable: Ln_LagY1</t>
  </si>
  <si>
    <t>c Predictors: Ln_LagZ5, Ln_LagZ2, Ln_LagZ1, Ln_LagZ3, Ln_LagZ4, Ln_LagX1</t>
  </si>
  <si>
    <t>d This total sum of squares is not corrected for the constant because the constant is zero for regression through the origin.</t>
  </si>
  <si>
    <t>Model Summaryb</t>
  </si>
  <si>
    <t>R Square</t>
  </si>
  <si>
    <t>.251a</t>
  </si>
  <si>
    <t>a Predictors: (Constant), Ln_LagZ5, Ln_LagZ1, Ln_LagX1, Ln_LagZ4, Ln_LagZ3, Ln_LagZ2</t>
  </si>
  <si>
    <t>b Dependent Variable: Ln_LagY1</t>
  </si>
  <si>
    <t>Coefficientsa</t>
  </si>
  <si>
    <t>(Constant)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</si>
</sst>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9" formatCode="0.00000"/>
    <numFmt numFmtId="170" formatCode="###0"/>
    <numFmt numFmtId="172" formatCode="###0.0000000"/>
    <numFmt numFmtId="173" formatCode="###0.00000000"/>
    <numFmt numFmtId="174" formatCode="###0.000"/>
  </numFmts>
  <fonts count="10">
    <font>
      <sz val="11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1"/>
      <color theme="1"/>
      <name val="Calibri"/>
      <family val="2"/>
      <charset val="136"/>
      <scheme val="minor"/>
    </font>
    <font>
      <sz val="10"/>
      <name val="Arial"/>
    </font>
    <font>
      <b/>
      <sz val="11"/>
      <color indexed="60"/>
      <name val="Arial Bold"/>
    </font>
    <font>
      <sz val="9"/>
      <color indexed="62"/>
      <name val="Arial"/>
    </font>
    <font>
      <sz val="9"/>
      <color indexed="60"/>
      <name val="Arial"/>
    </font>
    <font>
      <vertAlign val="superscript"/>
      <sz val="9"/>
      <color indexed="62"/>
      <name val="Arial"/>
    </font>
    <font>
      <vertAlign val="superscript"/>
      <sz val="9"/>
      <color indexed="60"/>
      <name val="Arial"/>
    </font>
    <font>
      <b/>
      <vertAlign val="superscript"/>
      <sz val="11"/>
      <color indexed="60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/>
    <xf numFmtId="0" fontId="3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3" fillId="0" borderId="0" xfId="2"/>
    <xf numFmtId="0" fontId="5" fillId="0" borderId="1" xfId="2" applyFont="1" applyBorder="1" applyAlignment="1">
      <alignment horizontal="left" wrapText="1"/>
    </xf>
    <xf numFmtId="0" fontId="5" fillId="0" borderId="2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2" borderId="5" xfId="2" applyFont="1" applyFill="1" applyBorder="1" applyAlignment="1">
      <alignment horizontal="left" vertical="top" wrapText="1"/>
    </xf>
    <xf numFmtId="0" fontId="5" fillId="2" borderId="6" xfId="2" applyFont="1" applyFill="1" applyBorder="1" applyAlignment="1">
      <alignment horizontal="left" vertical="top" wrapText="1"/>
    </xf>
    <xf numFmtId="0" fontId="5" fillId="2" borderId="7" xfId="2" applyFont="1" applyFill="1" applyBorder="1" applyAlignment="1">
      <alignment horizontal="left" vertical="top" wrapText="1"/>
    </xf>
    <xf numFmtId="0" fontId="5" fillId="0" borderId="1" xfId="2" applyFont="1" applyBorder="1" applyAlignment="1">
      <alignment horizontal="center" wrapText="1"/>
    </xf>
    <xf numFmtId="170" fontId="6" fillId="0" borderId="5" xfId="2" applyNumberFormat="1" applyFont="1" applyBorder="1" applyAlignment="1">
      <alignment horizontal="right" vertical="top"/>
    </xf>
    <xf numFmtId="172" fontId="6" fillId="0" borderId="6" xfId="2" applyNumberFormat="1" applyFont="1" applyBorder="1" applyAlignment="1">
      <alignment horizontal="right" vertical="top"/>
    </xf>
    <xf numFmtId="173" fontId="6" fillId="0" borderId="6" xfId="2" applyNumberFormat="1" applyFont="1" applyBorder="1" applyAlignment="1">
      <alignment horizontal="right" vertical="top"/>
    </xf>
    <xf numFmtId="174" fontId="6" fillId="0" borderId="6" xfId="2" applyNumberFormat="1" applyFont="1" applyBorder="1" applyAlignment="1">
      <alignment horizontal="right" vertical="top"/>
    </xf>
    <xf numFmtId="0" fontId="6" fillId="0" borderId="7" xfId="2" applyFont="1" applyBorder="1" applyAlignment="1">
      <alignment horizontal="right" vertical="top"/>
    </xf>
    <xf numFmtId="0" fontId="6" fillId="0" borderId="0" xfId="2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2" applyFont="1" applyBorder="1" applyAlignment="1">
      <alignment horizontal="left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14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2" borderId="15" xfId="2" applyFont="1" applyFill="1" applyBorder="1" applyAlignment="1">
      <alignment horizontal="left" vertical="top"/>
    </xf>
    <xf numFmtId="0" fontId="6" fillId="0" borderId="16" xfId="2" applyFont="1" applyBorder="1" applyAlignment="1">
      <alignment horizontal="right" vertical="top"/>
    </xf>
    <xf numFmtId="174" fontId="6" fillId="0" borderId="17" xfId="2" applyNumberFormat="1" applyFont="1" applyBorder="1" applyAlignment="1">
      <alignment horizontal="right" vertical="top"/>
    </xf>
    <xf numFmtId="172" fontId="6" fillId="0" borderId="17" xfId="2" applyNumberFormat="1" applyFont="1" applyBorder="1" applyAlignment="1">
      <alignment horizontal="right" vertical="top"/>
    </xf>
    <xf numFmtId="170" fontId="6" fillId="0" borderId="17" xfId="2" applyNumberFormat="1" applyFont="1" applyBorder="1" applyAlignment="1">
      <alignment horizontal="right" vertical="top"/>
    </xf>
    <xf numFmtId="174" fontId="6" fillId="0" borderId="18" xfId="2" applyNumberFormat="1" applyFont="1" applyBorder="1" applyAlignment="1">
      <alignment horizontal="right" vertical="top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80"/>
  <sheetViews>
    <sheetView topLeftCell="A58" zoomScaleNormal="100" workbookViewId="0">
      <selection activeCell="C80" sqref="C80"/>
    </sheetView>
  </sheetViews>
  <sheetFormatPr defaultRowHeight="15"/>
  <cols>
    <col min="3" max="3" width="37.7109375" bestFit="1" customWidth="1"/>
    <col min="8" max="8" width="16.85546875" bestFit="1" customWidth="1"/>
  </cols>
  <sheetData>
    <row r="5" spans="3:12">
      <c r="D5" s="1">
        <v>2017</v>
      </c>
      <c r="E5" s="1">
        <v>2018</v>
      </c>
      <c r="F5" s="1">
        <v>2019</v>
      </c>
      <c r="G5" s="1">
        <v>2020</v>
      </c>
      <c r="H5" t="s">
        <v>4515</v>
      </c>
    </row>
    <row r="6" spans="3:12">
      <c r="C6" t="s">
        <v>23</v>
      </c>
      <c r="D6" t="s">
        <v>509</v>
      </c>
      <c r="E6" t="s">
        <v>601</v>
      </c>
      <c r="F6" t="s">
        <v>681</v>
      </c>
      <c r="G6" t="s">
        <v>750</v>
      </c>
      <c r="H6" s="3">
        <v>6835000000</v>
      </c>
      <c r="I6" s="3">
        <f>41620000/H6</f>
        <v>6.0892465252377469E-3</v>
      </c>
      <c r="J6" s="3">
        <f>1920000/H6</f>
        <v>2.8090709583028528E-4</v>
      </c>
      <c r="K6" s="3">
        <f>14460000/H6</f>
        <v>2.1155815654718361E-3</v>
      </c>
      <c r="L6" s="3">
        <f>13120000/H6</f>
        <v>1.9195318215069494E-3</v>
      </c>
    </row>
    <row r="7" spans="3:12">
      <c r="C7" t="s">
        <v>137</v>
      </c>
      <c r="D7" t="s">
        <v>558</v>
      </c>
      <c r="E7" t="s">
        <v>638</v>
      </c>
      <c r="F7" t="s">
        <v>723</v>
      </c>
      <c r="G7" t="s">
        <v>747</v>
      </c>
      <c r="H7" s="3">
        <v>1801000000</v>
      </c>
      <c r="I7" s="3">
        <f>1480000/H7</f>
        <v>8.2176568573014987E-4</v>
      </c>
      <c r="J7" s="3">
        <f>1710000/H7</f>
        <v>9.4947251526929482E-4</v>
      </c>
      <c r="K7" s="3">
        <f>104220/H7</f>
        <v>5.7867851193781231E-5</v>
      </c>
      <c r="L7" s="3">
        <f>2820000/H7</f>
        <v>1.5657967795669073E-3</v>
      </c>
    </row>
    <row r="8" spans="3:12">
      <c r="C8" t="s">
        <v>25</v>
      </c>
      <c r="D8" t="s">
        <v>510</v>
      </c>
      <c r="E8" t="s">
        <v>602</v>
      </c>
      <c r="F8" t="s">
        <v>682</v>
      </c>
      <c r="G8" t="s">
        <v>751</v>
      </c>
      <c r="H8" s="3">
        <v>15963000000</v>
      </c>
      <c r="I8" s="3">
        <f>40480000/H8</f>
        <v>2.5358641859299629E-3</v>
      </c>
      <c r="J8" s="3">
        <f>133030000/H8</f>
        <v>8.3336465576645986E-3</v>
      </c>
      <c r="K8" s="3">
        <f>36010000/H8</f>
        <v>2.2558416337781118E-3</v>
      </c>
      <c r="L8" s="3">
        <f>105350000/H8</f>
        <v>6.5996366597757313E-3</v>
      </c>
    </row>
    <row r="9" spans="3:12">
      <c r="C9" t="s">
        <v>48</v>
      </c>
      <c r="D9" t="s">
        <v>522</v>
      </c>
      <c r="E9" t="s">
        <v>614</v>
      </c>
      <c r="F9" t="s">
        <v>694</v>
      </c>
      <c r="G9" t="s">
        <v>533</v>
      </c>
      <c r="H9" s="3">
        <v>1744000000</v>
      </c>
      <c r="I9" s="3">
        <f>16530000/H9</f>
        <v>9.4782110091743126E-3</v>
      </c>
      <c r="J9" s="3">
        <f>2240000/H9</f>
        <v>1.2844036697247706E-3</v>
      </c>
      <c r="K9" s="3">
        <f>8830000/H9</f>
        <v>5.0630733944954124E-3</v>
      </c>
      <c r="L9" s="3">
        <f>7990000/H9</f>
        <v>4.5814220183486238E-3</v>
      </c>
    </row>
    <row r="10" spans="3:12">
      <c r="C10" t="s">
        <v>111</v>
      </c>
      <c r="D10" t="s">
        <v>547</v>
      </c>
      <c r="E10" t="s">
        <v>639</v>
      </c>
      <c r="F10" t="s">
        <v>717</v>
      </c>
      <c r="G10" t="s">
        <v>780</v>
      </c>
      <c r="H10" s="3">
        <v>1377000000</v>
      </c>
      <c r="I10" s="3">
        <f>3800000/H10</f>
        <v>2.7596223674655048E-3</v>
      </c>
      <c r="J10" s="3">
        <f>1230000/H10</f>
        <v>8.932461873638344E-4</v>
      </c>
      <c r="K10" s="3">
        <f>4100000/H10</f>
        <v>2.9774872912127813E-3</v>
      </c>
      <c r="L10" s="3">
        <f>6230000/H10</f>
        <v>4.5243282498184456E-3</v>
      </c>
    </row>
    <row r="11" spans="3:12">
      <c r="C11" t="s">
        <v>66</v>
      </c>
      <c r="D11" t="s">
        <v>530</v>
      </c>
      <c r="E11" t="s">
        <v>622</v>
      </c>
      <c r="F11" t="s">
        <v>701</v>
      </c>
      <c r="G11" t="s">
        <v>768</v>
      </c>
      <c r="H11" s="3">
        <v>1554000000</v>
      </c>
      <c r="I11" s="3">
        <f>10800000/H11</f>
        <v>6.9498069498069494E-3</v>
      </c>
      <c r="J11" s="3">
        <f>9260000/H11</f>
        <v>5.958815958815959E-3</v>
      </c>
      <c r="K11" s="3">
        <f>7780000/H11</f>
        <v>5.0064350064350062E-3</v>
      </c>
      <c r="L11" s="3">
        <f>24990000/H11</f>
        <v>1.608108108108108E-2</v>
      </c>
    </row>
    <row r="12" spans="3:12">
      <c r="C12" t="s">
        <v>102</v>
      </c>
      <c r="D12" t="s">
        <v>544</v>
      </c>
      <c r="E12" t="s">
        <v>636</v>
      </c>
      <c r="F12" t="s">
        <v>714</v>
      </c>
      <c r="G12" t="s">
        <v>778</v>
      </c>
      <c r="H12" s="3">
        <v>501953000</v>
      </c>
      <c r="I12" s="3">
        <f>4420000/H12</f>
        <v>8.805605305676029E-3</v>
      </c>
      <c r="J12" s="3">
        <f>137000/H12</f>
        <v>2.7293392010805794E-4</v>
      </c>
      <c r="K12" s="3">
        <f>427100/H12</f>
        <v>8.5087647648285792E-4</v>
      </c>
      <c r="L12" s="3">
        <f>1210000/H12</f>
        <v>2.4105842578886869E-3</v>
      </c>
    </row>
    <row r="13" spans="3:12">
      <c r="C13" t="s">
        <v>27</v>
      </c>
      <c r="D13" t="s">
        <v>512</v>
      </c>
      <c r="E13" t="s">
        <v>604</v>
      </c>
      <c r="F13" t="s">
        <v>684</v>
      </c>
      <c r="G13" t="s">
        <v>753</v>
      </c>
      <c r="H13" s="3">
        <v>8410764000</v>
      </c>
      <c r="I13" s="3">
        <f>32980000/H13</f>
        <v>3.9211657823236988E-3</v>
      </c>
      <c r="J13" s="3">
        <f>27660000/H13</f>
        <v>3.288642981779063E-3</v>
      </c>
      <c r="K13" s="3">
        <f>83340000/H13</f>
        <v>9.9087312401108865E-3</v>
      </c>
      <c r="L13" s="3">
        <f>40510000/H13</f>
        <v>4.81644711467353E-3</v>
      </c>
    </row>
    <row r="14" spans="3:12">
      <c r="C14" t="s">
        <v>153</v>
      </c>
      <c r="D14" t="s">
        <v>564</v>
      </c>
      <c r="E14" t="s">
        <v>654</v>
      </c>
      <c r="F14" t="s">
        <v>595</v>
      </c>
      <c r="G14" t="s">
        <v>595</v>
      </c>
      <c r="H14" s="3">
        <v>1663280000</v>
      </c>
      <c r="I14" s="3">
        <f>908600/H14</f>
        <v>5.4627002068202593E-4</v>
      </c>
      <c r="J14" s="3">
        <f>5180000/H14</f>
        <v>3.1143283151363571E-3</v>
      </c>
      <c r="K14" s="3">
        <f>200000/H14</f>
        <v>1.2024433649175123E-4</v>
      </c>
      <c r="L14" s="3">
        <f>201450000/H14</f>
        <v>0.12111610793131644</v>
      </c>
    </row>
    <row r="15" spans="3:12">
      <c r="C15" t="s">
        <v>113</v>
      </c>
      <c r="D15" t="s">
        <v>548</v>
      </c>
      <c r="E15" t="s">
        <v>640</v>
      </c>
      <c r="F15" t="s">
        <v>718</v>
      </c>
      <c r="G15" t="s">
        <v>781</v>
      </c>
      <c r="H15" s="3">
        <v>3500273000</v>
      </c>
      <c r="I15" s="3">
        <f>3600000/H15</f>
        <v>1.0284912062573405E-3</v>
      </c>
      <c r="J15" s="3">
        <f>985200/H15</f>
        <v>2.814637601124255E-4</v>
      </c>
      <c r="K15" s="3">
        <f>382600/H15</f>
        <v>1.0930575986501624E-4</v>
      </c>
      <c r="L15" s="3">
        <f>672400/H15</f>
        <v>1.9209930196873216E-4</v>
      </c>
    </row>
    <row r="16" spans="3:12">
      <c r="C16" t="s">
        <v>144</v>
      </c>
      <c r="D16" t="s">
        <v>561</v>
      </c>
      <c r="E16" t="s">
        <v>651</v>
      </c>
      <c r="F16" t="s">
        <v>726</v>
      </c>
      <c r="G16" t="s">
        <v>788</v>
      </c>
      <c r="H16" s="3">
        <v>737913264</v>
      </c>
      <c r="I16" s="3">
        <f>1160000/H16</f>
        <v>1.5720004729444733E-3</v>
      </c>
      <c r="J16" s="3">
        <f>15150000/H16</f>
        <v>2.0530868245783422E-2</v>
      </c>
      <c r="K16" s="3">
        <f>18730000/H16</f>
        <v>2.538238694676723E-2</v>
      </c>
      <c r="L16" s="3">
        <f>12200/H16</f>
        <v>1.6533108422347048E-5</v>
      </c>
    </row>
    <row r="17" spans="3:12">
      <c r="C17" t="s">
        <v>155</v>
      </c>
      <c r="D17" t="s">
        <v>565</v>
      </c>
      <c r="E17" t="s">
        <v>655</v>
      </c>
      <c r="F17" t="s">
        <v>730</v>
      </c>
      <c r="G17" t="s">
        <v>790</v>
      </c>
      <c r="H17" s="3">
        <v>391005893</v>
      </c>
      <c r="I17" s="3">
        <f>881500/H17</f>
        <v>2.2544417252555321E-3</v>
      </c>
      <c r="J17" s="3">
        <f>665600/H17</f>
        <v>1.702276134237189E-3</v>
      </c>
      <c r="K17" s="3">
        <f>396200/H17</f>
        <v>1.0132839609146248E-3</v>
      </c>
      <c r="L17" s="3">
        <f>1780000/H17</f>
        <v>4.5523610561030601E-3</v>
      </c>
    </row>
    <row r="18" spans="3:12">
      <c r="C18" t="s">
        <v>30</v>
      </c>
      <c r="D18" t="s">
        <v>513</v>
      </c>
      <c r="E18" t="s">
        <v>605</v>
      </c>
      <c r="F18" t="s">
        <v>686</v>
      </c>
      <c r="G18" t="s">
        <v>754</v>
      </c>
      <c r="H18" s="3">
        <v>20195298100</v>
      </c>
      <c r="I18" s="3">
        <f>29630000/H18</f>
        <v>1.4671731931503403E-3</v>
      </c>
      <c r="J18" s="3">
        <f>20160000/H18</f>
        <v>9.9825216246746075E-4</v>
      </c>
      <c r="K18" s="3">
        <f>22290000/H18</f>
        <v>1.1037222570138738E-3</v>
      </c>
      <c r="L18" s="3">
        <f>70430000/H18</f>
        <v>3.4874454267154391E-3</v>
      </c>
    </row>
    <row r="19" spans="3:12">
      <c r="C19" t="s">
        <v>251</v>
      </c>
      <c r="D19" t="s">
        <v>582</v>
      </c>
      <c r="E19" t="s">
        <v>670</v>
      </c>
      <c r="F19" t="s">
        <v>742</v>
      </c>
      <c r="G19" t="s">
        <v>801</v>
      </c>
      <c r="H19" s="3">
        <v>963946663</v>
      </c>
      <c r="I19" s="3">
        <f>130300/H19</f>
        <v>1.3517345409390147E-4</v>
      </c>
      <c r="J19" s="3">
        <f>5720000/H19</f>
        <v>5.9339382764168561E-3</v>
      </c>
      <c r="K19" s="3">
        <f>298900/H19</f>
        <v>3.1007939699667804E-4</v>
      </c>
      <c r="L19" s="3">
        <f>8140000/H19</f>
        <v>8.4444506241316795E-3</v>
      </c>
    </row>
    <row r="20" spans="3:12">
      <c r="C20" t="s">
        <v>177</v>
      </c>
      <c r="D20" t="s">
        <v>571</v>
      </c>
      <c r="E20" t="s">
        <v>661</v>
      </c>
      <c r="F20" t="s">
        <v>590</v>
      </c>
      <c r="G20" t="s">
        <v>596</v>
      </c>
      <c r="H20" s="3">
        <v>253619500</v>
      </c>
      <c r="I20" s="3">
        <f>432300/H20</f>
        <v>1.7045219314760893E-3</v>
      </c>
      <c r="J20" s="3">
        <f>140500/H20</f>
        <v>5.5397948501593921E-4</v>
      </c>
      <c r="K20" s="3">
        <f>120450/H20</f>
        <v>4.7492404960975006E-4</v>
      </c>
      <c r="L20" s="3">
        <f>110980/H20</f>
        <v>4.375846494453305E-4</v>
      </c>
    </row>
    <row r="21" spans="3:12">
      <c r="C21" t="s">
        <v>244</v>
      </c>
      <c r="D21" t="s">
        <v>581</v>
      </c>
      <c r="E21" t="s">
        <v>668</v>
      </c>
      <c r="F21" t="s">
        <v>741</v>
      </c>
      <c r="G21" t="s">
        <v>800</v>
      </c>
      <c r="H21" s="3">
        <v>713822139</v>
      </c>
      <c r="I21" s="3">
        <f>190300/H21</f>
        <v>2.6659302030978334E-4</v>
      </c>
      <c r="J21" s="3">
        <f>103900/H21</f>
        <v>1.4555446563419071E-4</v>
      </c>
      <c r="K21" s="3">
        <f>155300/H21</f>
        <v>2.1756119839258726E-4</v>
      </c>
      <c r="L21" s="3">
        <f>734400/H21</f>
        <v>1.0288277147425375E-3</v>
      </c>
    </row>
    <row r="22" spans="3:12">
      <c r="C22" t="s">
        <v>134</v>
      </c>
      <c r="D22" t="s">
        <v>556</v>
      </c>
      <c r="E22" t="s">
        <v>647</v>
      </c>
      <c r="F22" t="s">
        <v>615</v>
      </c>
      <c r="G22" t="s">
        <v>785</v>
      </c>
      <c r="H22" s="3">
        <v>1896428531</v>
      </c>
      <c r="I22" s="3">
        <f>1560000/H22</f>
        <v>8.2259888759288028E-4</v>
      </c>
      <c r="J22" s="3">
        <f>6200000/H22</f>
        <v>3.2693032712024727E-3</v>
      </c>
      <c r="K22" s="3">
        <f>2020000/H22</f>
        <v>1.0651600980369346E-3</v>
      </c>
      <c r="L22" s="3">
        <f>470100/H22</f>
        <v>2.478870109342391E-4</v>
      </c>
    </row>
    <row r="23" spans="3:12">
      <c r="C23" t="s">
        <v>32</v>
      </c>
      <c r="D23" t="s">
        <v>514</v>
      </c>
      <c r="E23" t="s">
        <v>606</v>
      </c>
      <c r="F23" t="s">
        <v>687</v>
      </c>
      <c r="G23" t="s">
        <v>755</v>
      </c>
      <c r="H23" s="3">
        <v>3558410555</v>
      </c>
      <c r="I23" s="3">
        <f>25190000/H23</f>
        <v>7.0790032826889473E-3</v>
      </c>
      <c r="J23" s="3">
        <f>18290000/H23</f>
        <v>5.1399352933855042E-3</v>
      </c>
      <c r="K23" s="3">
        <f>19070000/H23</f>
        <v>5.3591342834806762E-3</v>
      </c>
      <c r="L23" s="3">
        <f>58600000/H23</f>
        <v>1.6468026691765475E-2</v>
      </c>
    </row>
    <row r="24" spans="3:12">
      <c r="C24" t="s">
        <v>35</v>
      </c>
      <c r="D24" t="s">
        <v>516</v>
      </c>
      <c r="E24" t="s">
        <v>607</v>
      </c>
      <c r="F24" t="s">
        <v>614</v>
      </c>
      <c r="G24" t="s">
        <v>756</v>
      </c>
      <c r="H24" s="3">
        <v>1378752530</v>
      </c>
      <c r="I24" s="3">
        <f>21420000/H24</f>
        <v>1.5535782915299529E-2</v>
      </c>
      <c r="J24" s="3">
        <f>4980000/H24</f>
        <v>3.6119607338091341E-3</v>
      </c>
      <c r="K24" s="3">
        <f>2240000/H24</f>
        <v>1.6246570368940684E-3</v>
      </c>
      <c r="L24" s="3">
        <f>4660000/H24</f>
        <v>3.3798668713956957E-3</v>
      </c>
    </row>
    <row r="25" spans="3:12">
      <c r="C25" t="s">
        <v>95</v>
      </c>
      <c r="D25" t="s">
        <v>540</v>
      </c>
      <c r="E25" t="s">
        <v>632</v>
      </c>
      <c r="F25" t="s">
        <v>709</v>
      </c>
      <c r="G25" t="s">
        <v>701</v>
      </c>
      <c r="H25" s="3">
        <v>7291614000</v>
      </c>
      <c r="I25" s="3">
        <f>4880000/H25</f>
        <v>6.692619768407927E-4</v>
      </c>
      <c r="J25" s="3">
        <f>5970000/H25</f>
        <v>8.1874877084826489E-4</v>
      </c>
      <c r="K25" s="3">
        <f>11110000/H25</f>
        <v>1.5236681480945097E-3</v>
      </c>
      <c r="L25" s="3">
        <f>7780000/H25</f>
        <v>1.0669791352092967E-3</v>
      </c>
    </row>
    <row r="26" spans="3:12">
      <c r="C26" t="s">
        <v>219</v>
      </c>
      <c r="D26" t="s">
        <v>576</v>
      </c>
      <c r="E26" t="s">
        <v>594</v>
      </c>
      <c r="F26" t="s">
        <v>738</v>
      </c>
      <c r="G26" t="s">
        <v>584</v>
      </c>
      <c r="H26" s="3">
        <v>88199080</v>
      </c>
      <c r="I26" s="3">
        <f>65700/H26</f>
        <v>7.4490572917540639E-4</v>
      </c>
      <c r="J26" s="3">
        <f>300000/H26</f>
        <v>3.4013960236319927E-3</v>
      </c>
      <c r="K26" s="3">
        <f>122700/H26</f>
        <v>1.391170973665485E-3</v>
      </c>
      <c r="L26" s="3">
        <f>120023/H26</f>
        <v>1.3608191831479422E-3</v>
      </c>
    </row>
    <row r="27" spans="3:12">
      <c r="C27" t="s">
        <v>252</v>
      </c>
      <c r="D27" t="s">
        <v>583</v>
      </c>
      <c r="E27" t="s">
        <v>671</v>
      </c>
      <c r="F27" t="s">
        <v>710</v>
      </c>
      <c r="G27" t="s">
        <v>802</v>
      </c>
      <c r="H27" s="3">
        <v>123297200</v>
      </c>
      <c r="I27" s="3">
        <f>12300/H27</f>
        <v>9.9758956407769201E-5</v>
      </c>
      <c r="J27" s="3">
        <f>10100/H27</f>
        <v>8.1915891034021866E-5</v>
      </c>
      <c r="K27" s="3">
        <f>8200/H27</f>
        <v>6.6505970938512791E-5</v>
      </c>
      <c r="L27" s="3">
        <f>96800/H27</f>
        <v>7.8509487644488278E-4</v>
      </c>
    </row>
    <row r="28" spans="3:12">
      <c r="C28" t="s">
        <v>261</v>
      </c>
      <c r="D28" t="s">
        <v>1717</v>
      </c>
      <c r="E28" t="s">
        <v>673</v>
      </c>
      <c r="F28" t="s">
        <v>669</v>
      </c>
      <c r="G28" t="s">
        <v>804</v>
      </c>
      <c r="H28" s="3">
        <v>3376307000</v>
      </c>
      <c r="I28" s="3">
        <f>6900000/H28</f>
        <v>2.0436530208893917E-3</v>
      </c>
      <c r="J28" s="3">
        <f>4190000/H28</f>
        <v>1.2410008923951525E-3</v>
      </c>
      <c r="K28" s="3">
        <f>1390000/H28</f>
        <v>4.1169242015018186E-4</v>
      </c>
      <c r="L28" s="3">
        <f>782042/H28</f>
        <v>2.3162644866121476E-4</v>
      </c>
    </row>
    <row r="29" spans="3:12">
      <c r="C29" t="s">
        <v>254</v>
      </c>
      <c r="D29" t="s">
        <v>585</v>
      </c>
      <c r="E29" t="s">
        <v>578</v>
      </c>
      <c r="F29" t="s">
        <v>743</v>
      </c>
      <c r="G29" t="s">
        <v>579</v>
      </c>
      <c r="H29" s="3">
        <v>400000000</v>
      </c>
      <c r="I29" s="3">
        <f>11500/H29</f>
        <v>2.8750000000000001E-5</v>
      </c>
      <c r="J29" s="3">
        <f>50000/H29</f>
        <v>1.25E-4</v>
      </c>
      <c r="K29" s="3">
        <f>30600/H29</f>
        <v>7.6500000000000003E-5</v>
      </c>
      <c r="L29" s="3">
        <f>20040/H29</f>
        <v>5.0099999999999998E-5</v>
      </c>
    </row>
    <row r="30" spans="3:12">
      <c r="C30" t="s">
        <v>255</v>
      </c>
      <c r="D30" t="s">
        <v>586</v>
      </c>
      <c r="E30" t="s">
        <v>672</v>
      </c>
      <c r="F30" t="s">
        <v>672</v>
      </c>
      <c r="G30" t="s">
        <v>803</v>
      </c>
      <c r="H30" s="3">
        <v>178800000</v>
      </c>
      <c r="I30" s="3">
        <f>10900/H30</f>
        <v>6.0961968680089485E-5</v>
      </c>
      <c r="J30" s="3">
        <f>3500/H30</f>
        <v>1.9574944071588367E-5</v>
      </c>
      <c r="K30" s="3">
        <f>3540.23/H30</f>
        <v>1.9799944071588365E-5</v>
      </c>
      <c r="L30" s="3">
        <f>2900000/H30</f>
        <v>1.6219239373601788E-2</v>
      </c>
    </row>
    <row r="31" spans="3:12">
      <c r="C31" t="s">
        <v>37</v>
      </c>
      <c r="D31" t="s">
        <v>517</v>
      </c>
      <c r="E31" t="s">
        <v>608</v>
      </c>
      <c r="F31" t="s">
        <v>689</v>
      </c>
      <c r="G31" t="s">
        <v>757</v>
      </c>
      <c r="H31" s="3">
        <v>8723855000</v>
      </c>
      <c r="I31" s="3">
        <f>20710000/H31</f>
        <v>2.3739505069719749E-3</v>
      </c>
      <c r="J31" s="3">
        <f>28820000/H31</f>
        <v>3.3035853988861576E-3</v>
      </c>
      <c r="K31" s="3">
        <f>9990000/H31</f>
        <v>1.1451359519386785E-3</v>
      </c>
      <c r="L31" s="3">
        <f>61310000/H31</f>
        <v>7.0278563777137516E-3</v>
      </c>
    </row>
    <row r="32" spans="3:12">
      <c r="C32" t="s">
        <v>115</v>
      </c>
      <c r="D32" t="s">
        <v>549</v>
      </c>
      <c r="E32" t="s">
        <v>641</v>
      </c>
      <c r="F32" t="s">
        <v>719</v>
      </c>
      <c r="G32" t="s">
        <v>646</v>
      </c>
      <c r="H32" s="3">
        <v>360484900</v>
      </c>
      <c r="I32" s="3">
        <f>3330000/H32</f>
        <v>9.2375575232138719E-3</v>
      </c>
      <c r="J32" s="3">
        <f>1910000/H32</f>
        <v>5.298418879681229E-3</v>
      </c>
      <c r="K32" s="3">
        <f>730300/H32</f>
        <v>2.0258823601210481E-3</v>
      </c>
      <c r="L32" s="3">
        <f>3290000/H32</f>
        <v>9.1265958712833748E-3</v>
      </c>
    </row>
    <row r="33" spans="3:12">
      <c r="C33" t="s">
        <v>161</v>
      </c>
      <c r="D33" t="s">
        <v>567</v>
      </c>
      <c r="E33" t="s">
        <v>657</v>
      </c>
      <c r="F33" t="s">
        <v>642</v>
      </c>
      <c r="G33" t="s">
        <v>556</v>
      </c>
      <c r="H33" s="3">
        <v>1803750836</v>
      </c>
      <c r="I33" s="3">
        <f>675400/H33</f>
        <v>3.7444196089619994E-4</v>
      </c>
      <c r="J33" s="3">
        <f>1490000/H33</f>
        <v>8.2605644319712454E-4</v>
      </c>
      <c r="K33" s="3">
        <f>2150000/H33</f>
        <v>1.1919606395126294E-3</v>
      </c>
      <c r="L33" s="3">
        <f>1560000/H33</f>
        <v>8.6486446401846603E-4</v>
      </c>
    </row>
    <row r="34" spans="3:12">
      <c r="C34" t="s">
        <v>117</v>
      </c>
      <c r="D34" t="s">
        <v>550</v>
      </c>
      <c r="E34" t="s">
        <v>642</v>
      </c>
      <c r="F34" t="s">
        <v>720</v>
      </c>
      <c r="G34" t="s">
        <v>782</v>
      </c>
      <c r="H34" s="3">
        <v>2270230000</v>
      </c>
      <c r="I34" s="3">
        <f>3250000/H34</f>
        <v>1.4315730124260537E-3</v>
      </c>
      <c r="J34" s="3">
        <f>2150000/H34</f>
        <v>9.4704060822031245E-4</v>
      </c>
      <c r="K34" s="3">
        <f>4010000/H34</f>
        <v>1.7663408553318387E-3</v>
      </c>
      <c r="L34" s="3">
        <f>5420000/H34</f>
        <v>2.3874233007228343E-3</v>
      </c>
    </row>
    <row r="35" spans="3:12">
      <c r="C35" t="s">
        <v>84</v>
      </c>
      <c r="D35" t="s">
        <v>536</v>
      </c>
      <c r="E35" t="s">
        <v>628</v>
      </c>
      <c r="F35" t="s">
        <v>676</v>
      </c>
      <c r="G35" t="s">
        <v>772</v>
      </c>
      <c r="H35" s="3">
        <v>4384323000</v>
      </c>
      <c r="I35" s="3">
        <f>7510000/H35</f>
        <v>1.7129212423445991E-3</v>
      </c>
      <c r="J35" s="3">
        <f>14990000/H35</f>
        <v>3.4189999231352252E-3</v>
      </c>
      <c r="K35" s="3">
        <f>3460000/H35</f>
        <v>7.891754325582308E-4</v>
      </c>
      <c r="L35" s="3">
        <f>4650000/H35</f>
        <v>1.0605970408658304E-3</v>
      </c>
    </row>
    <row r="36" spans="3:12">
      <c r="C36" t="s">
        <v>195</v>
      </c>
      <c r="D36" t="s">
        <v>574</v>
      </c>
      <c r="E36" t="s">
        <v>663</v>
      </c>
      <c r="F36" t="s">
        <v>736</v>
      </c>
      <c r="G36" t="s">
        <v>796</v>
      </c>
      <c r="H36" s="3">
        <v>1198784000</v>
      </c>
      <c r="I36" s="3">
        <f>181500/H36</f>
        <v>1.5140342213442956E-4</v>
      </c>
      <c r="J36" s="3">
        <f>380200/H36</f>
        <v>3.1715471677967006E-4</v>
      </c>
      <c r="K36" s="3">
        <f>509500/H36</f>
        <v>4.2501401420105709E-4</v>
      </c>
      <c r="L36" s="3">
        <f>56800/H36</f>
        <v>4.7381346431050133E-5</v>
      </c>
    </row>
    <row r="37" spans="3:12">
      <c r="C37" t="s">
        <v>148</v>
      </c>
      <c r="D37" t="s">
        <v>563</v>
      </c>
      <c r="E37" t="s">
        <v>653</v>
      </c>
      <c r="F37" t="s">
        <v>728</v>
      </c>
      <c r="G37" t="s">
        <v>591</v>
      </c>
      <c r="H37" s="3">
        <v>78039053</v>
      </c>
      <c r="I37" s="3">
        <f>1000000/H37</f>
        <v>1.2814097064965665E-2</v>
      </c>
      <c r="J37" s="3">
        <f>261000/H37</f>
        <v>3.3444793339560386E-3</v>
      </c>
      <c r="K37" s="3">
        <f>464100/H37</f>
        <v>5.9470224478505654E-3</v>
      </c>
      <c r="L37" s="3">
        <f>1100/H37</f>
        <v>1.4095506771462232E-5</v>
      </c>
    </row>
    <row r="38" spans="3:12">
      <c r="C38" t="s">
        <v>88</v>
      </c>
      <c r="D38" t="s">
        <v>538</v>
      </c>
      <c r="E38" t="s">
        <v>630</v>
      </c>
      <c r="F38" t="s">
        <v>707</v>
      </c>
      <c r="G38" t="s">
        <v>774</v>
      </c>
      <c r="H38" s="3">
        <v>5470221000</v>
      </c>
      <c r="I38" s="3">
        <f>6420000/H38</f>
        <v>1.1736271715530324E-3</v>
      </c>
      <c r="J38" s="3">
        <f>11550000/H38</f>
        <v>2.1114320609715766E-3</v>
      </c>
      <c r="K38" s="3">
        <f>6020000/H38</f>
        <v>1.1005039832942764E-3</v>
      </c>
      <c r="L38" s="3">
        <f>2500000/H38</f>
        <v>4.5701992661722443E-4</v>
      </c>
    </row>
    <row r="39" spans="3:12">
      <c r="C39" t="s">
        <v>83</v>
      </c>
      <c r="D39" t="s">
        <v>535</v>
      </c>
      <c r="E39" t="s">
        <v>627</v>
      </c>
      <c r="F39" t="s">
        <v>705</v>
      </c>
      <c r="G39" t="s">
        <v>771</v>
      </c>
      <c r="H39" s="3">
        <v>5270521485</v>
      </c>
      <c r="I39" s="3">
        <f>7790000/H39</f>
        <v>1.4780321116554561E-3</v>
      </c>
      <c r="J39" s="3">
        <f>6540000/H39</f>
        <v>1.2408639294257616E-3</v>
      </c>
      <c r="K39" s="3">
        <f>31290000/H39</f>
        <v>5.9367939375737123E-3</v>
      </c>
      <c r="L39" s="3">
        <f>31630000/H39</f>
        <v>6.0013036831401889E-3</v>
      </c>
    </row>
    <row r="40" spans="3:12">
      <c r="C40" t="s">
        <v>80</v>
      </c>
      <c r="D40" t="s">
        <v>534</v>
      </c>
      <c r="E40" t="s">
        <v>625</v>
      </c>
      <c r="F40" t="s">
        <v>703</v>
      </c>
      <c r="G40" t="s">
        <v>769</v>
      </c>
      <c r="H40" s="3">
        <v>2177361360</v>
      </c>
      <c r="I40" s="3">
        <f>7970000/H40</f>
        <v>3.6603937896647529E-3</v>
      </c>
      <c r="J40" s="3">
        <f>2190000/H40</f>
        <v>1.0058045670471528E-3</v>
      </c>
      <c r="K40" s="3">
        <f>7090000/H40</f>
        <v>3.2562348768786823E-3</v>
      </c>
      <c r="L40" s="3">
        <f>49600000/H40</f>
        <v>2.2779865993396705E-2</v>
      </c>
    </row>
    <row r="41" spans="3:12">
      <c r="C41" t="s">
        <v>164</v>
      </c>
      <c r="D41" t="s">
        <v>568</v>
      </c>
      <c r="E41" t="s">
        <v>658</v>
      </c>
      <c r="F41" t="s">
        <v>563</v>
      </c>
      <c r="G41" t="s">
        <v>792</v>
      </c>
      <c r="H41" s="3">
        <v>463012500</v>
      </c>
      <c r="I41" s="3">
        <f>595800/H41</f>
        <v>1.2867903134364622E-3</v>
      </c>
      <c r="J41" s="3">
        <f>2000000/H41</f>
        <v>4.3195378094543881E-3</v>
      </c>
      <c r="K41" s="3">
        <f>4810000/H41</f>
        <v>1.0388488431737805E-2</v>
      </c>
      <c r="L41" s="3">
        <f>144500/H41</f>
        <v>3.1208660673307957E-4</v>
      </c>
    </row>
    <row r="42" spans="3:12">
      <c r="C42" t="s">
        <v>166</v>
      </c>
      <c r="D42" t="s">
        <v>569</v>
      </c>
      <c r="E42" t="s">
        <v>659</v>
      </c>
      <c r="F42" t="s">
        <v>732</v>
      </c>
      <c r="G42" t="s">
        <v>793</v>
      </c>
      <c r="H42" s="3">
        <v>870434068</v>
      </c>
      <c r="I42" s="3">
        <f>552700/H42</f>
        <v>6.3497055126753152E-4</v>
      </c>
      <c r="J42" s="3">
        <f>2420000/H42</f>
        <v>2.7802220627237673E-3</v>
      </c>
      <c r="K42" s="3">
        <f>4810000/H42</f>
        <v>5.5259785626864963E-3</v>
      </c>
      <c r="L42" s="3">
        <f>123300/H42</f>
        <v>1.41653462947868E-4</v>
      </c>
    </row>
    <row r="43" spans="3:12">
      <c r="C43" t="s">
        <v>156</v>
      </c>
      <c r="D43" t="s">
        <v>566</v>
      </c>
      <c r="E43" t="s">
        <v>656</v>
      </c>
      <c r="F43" t="s">
        <v>731</v>
      </c>
      <c r="G43" t="s">
        <v>791</v>
      </c>
      <c r="H43" s="3">
        <v>204039200</v>
      </c>
      <c r="I43" s="3">
        <f>863800/H43</f>
        <v>4.2335002293676901E-3</v>
      </c>
      <c r="J43" s="3">
        <f>800000/H43</f>
        <v>3.9208152158996899E-3</v>
      </c>
      <c r="K43" s="3">
        <f>597900/H43</f>
        <v>2.9303192719830305E-3</v>
      </c>
      <c r="L43" s="3">
        <f>7100/H43</f>
        <v>3.479723504110975E-5</v>
      </c>
    </row>
    <row r="44" spans="3:12">
      <c r="C44" t="s">
        <v>82</v>
      </c>
      <c r="D44" t="s">
        <v>535</v>
      </c>
      <c r="E44" t="s">
        <v>626</v>
      </c>
      <c r="F44" t="s">
        <v>704</v>
      </c>
      <c r="G44" t="s">
        <v>770</v>
      </c>
      <c r="H44" s="3">
        <v>20082157000</v>
      </c>
      <c r="I44" s="3">
        <f>7790000/H44</f>
        <v>3.8790653812735353E-4</v>
      </c>
      <c r="J44" s="3">
        <f>22540000/H44</f>
        <v>1.1223893927330615E-3</v>
      </c>
      <c r="K44" s="3">
        <f>28360000/H44</f>
        <v>1.4121988987537543E-3</v>
      </c>
      <c r="L44" s="3">
        <f>55190000/H44</f>
        <v>2.7482107624195945E-3</v>
      </c>
    </row>
    <row r="45" spans="3:12">
      <c r="C45" t="s">
        <v>15</v>
      </c>
      <c r="D45" t="s">
        <v>508</v>
      </c>
      <c r="E45" t="s">
        <v>600</v>
      </c>
      <c r="F45" t="s">
        <v>679</v>
      </c>
      <c r="G45" t="s">
        <v>562</v>
      </c>
      <c r="H45" s="3">
        <v>2024842000</v>
      </c>
      <c r="I45" s="3">
        <f>82960000/H45</f>
        <v>4.0971097991843314E-2</v>
      </c>
      <c r="J45" s="3">
        <f>3380000/H45</f>
        <v>1.6692660464372035E-3</v>
      </c>
      <c r="K45" s="3">
        <f>55430000/H45</f>
        <v>2.7374975430181712E-2</v>
      </c>
      <c r="L45" s="3">
        <f>1030000/H45</f>
        <v>5.086816650385561E-4</v>
      </c>
    </row>
    <row r="46" spans="3:12">
      <c r="C46" t="s">
        <v>140</v>
      </c>
      <c r="D46" t="s">
        <v>560</v>
      </c>
      <c r="E46" t="s">
        <v>650</v>
      </c>
      <c r="F46" t="s">
        <v>725</v>
      </c>
      <c r="G46" t="s">
        <v>787</v>
      </c>
      <c r="H46" s="3">
        <v>678071000</v>
      </c>
      <c r="I46" s="3">
        <f>1380000/H46</f>
        <v>2.0351851059844765E-3</v>
      </c>
      <c r="J46" s="3">
        <f>59000/H46</f>
        <v>8.7011537139916026E-5</v>
      </c>
      <c r="K46" s="3">
        <f>377000/H46</f>
        <v>5.5598897460590411E-4</v>
      </c>
      <c r="L46" s="3">
        <f>859400/H46</f>
        <v>1.2674188986109124E-3</v>
      </c>
    </row>
    <row r="47" spans="3:12">
      <c r="C47" t="s">
        <v>4</v>
      </c>
      <c r="D47" t="s">
        <v>507</v>
      </c>
      <c r="E47" t="s">
        <v>598</v>
      </c>
      <c r="F47" t="s">
        <v>678</v>
      </c>
      <c r="G47" t="s">
        <v>748</v>
      </c>
      <c r="H47" s="3">
        <v>32635551891</v>
      </c>
      <c r="I47" s="3">
        <f>368700000/H47</f>
        <v>1.1297495480739134E-2</v>
      </c>
      <c r="J47" s="3">
        <f>29750000/H47</f>
        <v>9.1158256184428873E-4</v>
      </c>
      <c r="K47" s="3">
        <f>48520000/H47</f>
        <v>1.4867222151490717E-3</v>
      </c>
      <c r="L47" s="3">
        <f>2830000/H47</f>
        <v>8.6715248740145776E-5</v>
      </c>
    </row>
    <row r="48" spans="3:12">
      <c r="C48" t="s">
        <v>135</v>
      </c>
      <c r="D48" t="s">
        <v>557</v>
      </c>
      <c r="E48" t="s">
        <v>648</v>
      </c>
      <c r="F48" t="s">
        <v>722</v>
      </c>
      <c r="G48" t="s">
        <v>786</v>
      </c>
      <c r="H48" s="3">
        <v>944639658</v>
      </c>
      <c r="I48" s="3">
        <f>1520000/H48</f>
        <v>1.6090791733412487E-3</v>
      </c>
      <c r="J48" s="3">
        <f>2550000/H48</f>
        <v>2.6994420342238055E-3</v>
      </c>
      <c r="K48" s="3">
        <f>5390000/H48</f>
        <v>5.7058794370456129E-3</v>
      </c>
      <c r="L48" s="3">
        <f>3520000/H48</f>
        <v>3.7262886119481553E-3</v>
      </c>
    </row>
    <row r="49" spans="3:12">
      <c r="C49" t="s">
        <v>75</v>
      </c>
      <c r="D49" t="s">
        <v>532</v>
      </c>
      <c r="E49" t="s">
        <v>545</v>
      </c>
      <c r="F49" t="s">
        <v>620</v>
      </c>
      <c r="G49" t="s">
        <v>611</v>
      </c>
      <c r="H49" s="3">
        <v>1486082158</v>
      </c>
      <c r="I49" s="3">
        <f>8840000/H49</f>
        <v>5.9485271069380542E-3</v>
      </c>
      <c r="J49" s="3">
        <f>4370000/H49</f>
        <v>2.9406180381582915E-3</v>
      </c>
      <c r="K49" s="3">
        <f>8540000/H49</f>
        <v>5.7466540150736406E-3</v>
      </c>
      <c r="L49" s="3">
        <f>27440000/H49</f>
        <v>1.8464658802531696E-2</v>
      </c>
    </row>
    <row r="50" spans="3:12">
      <c r="C50" t="s">
        <v>74</v>
      </c>
      <c r="D50" t="s">
        <v>531</v>
      </c>
      <c r="E50" t="s">
        <v>557</v>
      </c>
      <c r="F50" t="s">
        <v>702</v>
      </c>
      <c r="G50" t="s">
        <v>559</v>
      </c>
      <c r="H50" s="3">
        <v>3512393900</v>
      </c>
      <c r="I50" s="3">
        <f>9190000/H50</f>
        <v>2.616449140285775E-3</v>
      </c>
      <c r="J50" s="3">
        <f>1520000/H50</f>
        <v>4.3275328544443721E-4</v>
      </c>
      <c r="K50" s="3">
        <f>2840000/H50</f>
        <v>8.0856534911986954E-4</v>
      </c>
      <c r="L50" s="3">
        <f>1410000/H50</f>
        <v>4.014356134714845E-4</v>
      </c>
    </row>
    <row r="51" spans="3:12">
      <c r="C51" t="s">
        <v>241</v>
      </c>
      <c r="D51" t="s">
        <v>580</v>
      </c>
      <c r="E51" t="s">
        <v>589</v>
      </c>
      <c r="F51" t="s">
        <v>740</v>
      </c>
      <c r="G51" t="s">
        <v>799</v>
      </c>
      <c r="H51" s="3">
        <v>59805080</v>
      </c>
      <c r="I51" s="3">
        <f>19800/H51</f>
        <v>3.3107555411680746E-4</v>
      </c>
      <c r="J51" s="3">
        <f>2700/H51</f>
        <v>4.5146666470473744E-5</v>
      </c>
      <c r="K51" s="3">
        <f>220800/H51</f>
        <v>3.6919940580298531E-3</v>
      </c>
      <c r="L51" s="3">
        <f>36800/H51</f>
        <v>6.1533234300497545E-4</v>
      </c>
    </row>
    <row r="52" spans="3:12">
      <c r="C52" t="s">
        <v>190</v>
      </c>
      <c r="D52" t="s">
        <v>573</v>
      </c>
      <c r="E52" t="s">
        <v>542</v>
      </c>
      <c r="F52" t="s">
        <v>735</v>
      </c>
      <c r="G52" t="s">
        <v>556</v>
      </c>
      <c r="H52" s="3">
        <v>1791766750</v>
      </c>
      <c r="I52" s="3">
        <f>238400/H52</f>
        <v>1.3305303271198666E-4</v>
      </c>
      <c r="J52" s="3">
        <f>4690000/H52</f>
        <v>2.617528202261818E-3</v>
      </c>
      <c r="K52" s="3">
        <f>1830000/H52</f>
        <v>1.0213382964049311E-3</v>
      </c>
      <c r="L52" s="3">
        <f>1560000/H52</f>
        <v>8.7064903955830187E-4</v>
      </c>
    </row>
    <row r="53" spans="3:12">
      <c r="C53" t="s">
        <v>284</v>
      </c>
      <c r="D53" t="s">
        <v>590</v>
      </c>
      <c r="E53" t="s">
        <v>674</v>
      </c>
      <c r="F53" t="s">
        <v>744</v>
      </c>
      <c r="G53" t="s">
        <v>797</v>
      </c>
      <c r="H53" s="3">
        <v>260028182</v>
      </c>
      <c r="I53" s="3">
        <f>1200/H53</f>
        <v>4.6148843974150467E-6</v>
      </c>
      <c r="J53" s="3">
        <f>77800/H53</f>
        <v>2.9919833843240886E-4</v>
      </c>
      <c r="K53" s="3">
        <f>29100/H53</f>
        <v>1.1191094663731487E-4</v>
      </c>
      <c r="L53" s="3">
        <f>7500/H53</f>
        <v>2.8843027483844039E-5</v>
      </c>
    </row>
    <row r="54" spans="3:12">
      <c r="C54" t="s">
        <v>86</v>
      </c>
      <c r="D54" t="s">
        <v>537</v>
      </c>
      <c r="E54" t="s">
        <v>629</v>
      </c>
      <c r="F54" t="s">
        <v>706</v>
      </c>
      <c r="G54" t="s">
        <v>664</v>
      </c>
      <c r="H54" s="3">
        <v>436417544</v>
      </c>
      <c r="I54" s="3">
        <f>6910000/H54</f>
        <v>1.5833460627329866E-2</v>
      </c>
      <c r="J54" s="3">
        <f>5040000/H54</f>
        <v>1.154857330850109E-2</v>
      </c>
      <c r="K54" s="3">
        <f>484100/H54</f>
        <v>1.1092587973502734E-3</v>
      </c>
      <c r="L54" s="3">
        <f>1250000/H54</f>
        <v>2.8642294911957068E-3</v>
      </c>
    </row>
    <row r="55" spans="3:12">
      <c r="C55" t="s">
        <v>119</v>
      </c>
      <c r="D55" t="s">
        <v>551</v>
      </c>
      <c r="E55" t="s">
        <v>643</v>
      </c>
      <c r="F55" t="s">
        <v>721</v>
      </c>
      <c r="G55" t="s">
        <v>783</v>
      </c>
      <c r="H55" s="3">
        <v>1255478583</v>
      </c>
      <c r="I55" s="3">
        <f>3010000/H55</f>
        <v>2.3974921123764005E-3</v>
      </c>
      <c r="J55" s="3">
        <f>4270000/H55</f>
        <v>3.4010934617432656E-3</v>
      </c>
      <c r="K55" s="3">
        <f>538600/H55</f>
        <v>4.289997514039632E-4</v>
      </c>
      <c r="L55" s="3">
        <f>1670000/H55</f>
        <v>1.3301700424148135E-3</v>
      </c>
    </row>
    <row r="56" spans="3:12">
      <c r="C56" t="s">
        <v>58</v>
      </c>
      <c r="D56" t="s">
        <v>527</v>
      </c>
      <c r="E56" t="s">
        <v>620</v>
      </c>
      <c r="F56" t="s">
        <v>699</v>
      </c>
      <c r="G56" t="s">
        <v>765</v>
      </c>
      <c r="H56" s="3">
        <v>2761538955</v>
      </c>
      <c r="I56" s="3">
        <f>13760000/H56</f>
        <v>4.9827289146460729E-3</v>
      </c>
      <c r="J56" s="3">
        <f>8540000/H56</f>
        <v>3.0924785560376062E-3</v>
      </c>
      <c r="K56" s="3">
        <f>4780000/H56</f>
        <v>1.7309189107564118E-3</v>
      </c>
      <c r="L56" s="3">
        <f>24640000/H56</f>
        <v>8.9225610797150599E-3</v>
      </c>
    </row>
    <row r="57" spans="3:12">
      <c r="C57" t="s">
        <v>26</v>
      </c>
      <c r="D57" t="s">
        <v>511</v>
      </c>
      <c r="E57" t="s">
        <v>603</v>
      </c>
      <c r="F57" t="s">
        <v>683</v>
      </c>
      <c r="G57" t="s">
        <v>752</v>
      </c>
      <c r="H57" s="3">
        <v>8539811000</v>
      </c>
      <c r="I57" s="3">
        <f>33860000/H57</f>
        <v>3.9649589434707627E-3</v>
      </c>
      <c r="J57" s="3">
        <f>32280000/H57</f>
        <v>3.7799431392568292E-3</v>
      </c>
      <c r="K57" s="3">
        <f>10910000/H57</f>
        <v>1.2775458379582405E-3</v>
      </c>
      <c r="L57" s="3">
        <f>55380000/H57</f>
        <v>6.4849210363086491E-3</v>
      </c>
    </row>
    <row r="58" spans="3:12">
      <c r="C58" t="s">
        <v>46</v>
      </c>
      <c r="D58" t="s">
        <v>521</v>
      </c>
      <c r="E58" t="s">
        <v>613</v>
      </c>
      <c r="F58" t="s">
        <v>693</v>
      </c>
      <c r="G58" t="s">
        <v>761</v>
      </c>
      <c r="H58" s="3">
        <v>2639485500</v>
      </c>
      <c r="I58" s="3">
        <f>17750000/H58</f>
        <v>6.7247954194103359E-3</v>
      </c>
      <c r="J58" s="3">
        <f>5120000/H58</f>
        <v>1.9397719745003336E-3</v>
      </c>
      <c r="K58" s="3">
        <f>4940000/H58</f>
        <v>1.8715768660218061E-3</v>
      </c>
      <c r="L58" s="3">
        <f>5150000/H58</f>
        <v>1.9511378259134213E-3</v>
      </c>
    </row>
    <row r="59" spans="3:12">
      <c r="C59" t="s">
        <v>209</v>
      </c>
      <c r="D59" t="s">
        <v>575</v>
      </c>
      <c r="E59" t="s">
        <v>665</v>
      </c>
      <c r="F59" t="s">
        <v>737</v>
      </c>
      <c r="G59" t="s">
        <v>592</v>
      </c>
      <c r="H59" s="3">
        <v>1450775215</v>
      </c>
      <c r="I59" s="3">
        <f>90300/H59</f>
        <v>6.2242585251223777E-5</v>
      </c>
      <c r="J59" s="3">
        <f>30000/H59</f>
        <v>2.0678599751237135E-5</v>
      </c>
      <c r="K59" s="3">
        <f>101700/H59</f>
        <v>7.0100453156693888E-5</v>
      </c>
      <c r="L59" s="3">
        <f>700000/H59</f>
        <v>4.8250066086219978E-4</v>
      </c>
    </row>
    <row r="60" spans="3:12">
      <c r="C60" t="s">
        <v>97</v>
      </c>
      <c r="D60" t="s">
        <v>541</v>
      </c>
      <c r="E60" t="s">
        <v>633</v>
      </c>
      <c r="F60" t="s">
        <v>711</v>
      </c>
      <c r="G60" t="s">
        <v>637</v>
      </c>
      <c r="H60" s="3">
        <v>3078258600</v>
      </c>
      <c r="I60" s="3">
        <f>4730000/H60</f>
        <v>1.5365830538084098E-3</v>
      </c>
      <c r="J60" s="3">
        <f>3680000/H60</f>
        <v>1.1954811074027373E-3</v>
      </c>
      <c r="K60" s="3">
        <f>2100000/H60</f>
        <v>6.8220389281134475E-4</v>
      </c>
      <c r="L60" s="3">
        <f>4110000/H60</f>
        <v>1.3351704759307747E-3</v>
      </c>
    </row>
    <row r="61" spans="3:12">
      <c r="C61" t="s">
        <v>108</v>
      </c>
      <c r="D61" t="s">
        <v>546</v>
      </c>
      <c r="E61" t="s">
        <v>555</v>
      </c>
      <c r="F61" t="s">
        <v>715</v>
      </c>
      <c r="G61" t="s">
        <v>667</v>
      </c>
      <c r="H61" s="3">
        <v>591056975</v>
      </c>
      <c r="I61" s="3">
        <f>4170000/H61</f>
        <v>7.0551574152390301E-3</v>
      </c>
      <c r="J61" s="3">
        <f>1600000/H61</f>
        <v>2.7070148355833211E-3</v>
      </c>
      <c r="K61" s="3">
        <f>2160000/H61</f>
        <v>3.6544700280374833E-3</v>
      </c>
      <c r="L61" s="3">
        <f>348100/H61</f>
        <v>5.8894491516659625E-4</v>
      </c>
    </row>
    <row r="62" spans="3:12">
      <c r="C62" t="s">
        <v>126</v>
      </c>
      <c r="D62" t="s">
        <v>554</v>
      </c>
      <c r="E62" t="s">
        <v>645</v>
      </c>
      <c r="F62" t="s">
        <v>677</v>
      </c>
      <c r="G62" t="s">
        <v>784</v>
      </c>
      <c r="H62" s="3">
        <v>905990040</v>
      </c>
      <c r="I62" s="3">
        <f>1990000/H62</f>
        <v>2.1964921380371906E-3</v>
      </c>
      <c r="J62" s="3">
        <f>1950000/H62</f>
        <v>2.1523415422977496E-3</v>
      </c>
      <c r="K62" s="3">
        <f>2460000/H62</f>
        <v>2.7152616379756229E-3</v>
      </c>
      <c r="L62" s="3">
        <f>478300/H62</f>
        <v>5.2793074855436598E-4</v>
      </c>
    </row>
    <row r="63" spans="3:12">
      <c r="C63" t="s">
        <v>99</v>
      </c>
      <c r="D63" t="s">
        <v>542</v>
      </c>
      <c r="E63" t="s">
        <v>634</v>
      </c>
      <c r="F63" t="s">
        <v>712</v>
      </c>
      <c r="G63" t="s">
        <v>776</v>
      </c>
      <c r="H63" s="3">
        <v>23283547635</v>
      </c>
      <c r="I63" s="3">
        <f>4690000/H63</f>
        <v>2.0142978525102237E-4</v>
      </c>
      <c r="J63" s="3">
        <f>968000/H63</f>
        <v>4.1574420495306962E-5</v>
      </c>
      <c r="K63" s="3">
        <f>19700000/H63</f>
        <v>8.4609099561730081E-4</v>
      </c>
      <c r="L63" s="3">
        <f>87060000/H63</f>
        <v>3.739120917687422E-3</v>
      </c>
    </row>
    <row r="64" spans="3:12">
      <c r="C64" t="s">
        <v>139</v>
      </c>
      <c r="D64" t="s">
        <v>559</v>
      </c>
      <c r="E64" t="s">
        <v>649</v>
      </c>
      <c r="F64" t="s">
        <v>724</v>
      </c>
      <c r="G64" t="s">
        <v>644</v>
      </c>
      <c r="H64" s="3">
        <v>2411411732</v>
      </c>
      <c r="I64" s="3">
        <f>1410000/H64</f>
        <v>5.8471972301078615E-4</v>
      </c>
      <c r="J64" s="3">
        <f>1970000/H64</f>
        <v>8.1694883285904157E-4</v>
      </c>
      <c r="K64" s="3">
        <f>3630000/H64</f>
        <v>1.5053422656235132E-3</v>
      </c>
      <c r="L64" s="3">
        <f>2560000/H64</f>
        <v>1.0616187878777392E-3</v>
      </c>
    </row>
    <row r="65" spans="3:12">
      <c r="C65" t="s">
        <v>55</v>
      </c>
      <c r="D65" t="s">
        <v>526</v>
      </c>
      <c r="E65" t="s">
        <v>619</v>
      </c>
      <c r="F65" t="s">
        <v>697</v>
      </c>
      <c r="G65" t="s">
        <v>764</v>
      </c>
      <c r="H65" s="3">
        <v>1519362336</v>
      </c>
      <c r="I65" s="3">
        <f>14800000/H65</f>
        <v>9.7409285786060184E-3</v>
      </c>
      <c r="J65" s="3">
        <f>543300/H65</f>
        <v>3.5758422275382768E-4</v>
      </c>
      <c r="K65" s="3">
        <f>581800/H65</f>
        <v>3.8292380047520144E-4</v>
      </c>
      <c r="L65" s="3">
        <f>16830000/H65</f>
        <v>1.1077015403914817E-2</v>
      </c>
    </row>
    <row r="66" spans="3:12">
      <c r="C66" t="s">
        <v>101</v>
      </c>
      <c r="D66" t="s">
        <v>543</v>
      </c>
      <c r="E66" t="s">
        <v>635</v>
      </c>
      <c r="F66" t="s">
        <v>713</v>
      </c>
      <c r="G66" t="s">
        <v>777</v>
      </c>
      <c r="H66" s="3">
        <v>8601289000</v>
      </c>
      <c r="I66" s="3">
        <f>4520000/H66</f>
        <v>5.2550263105913546E-4</v>
      </c>
      <c r="J66" s="3">
        <f>4380000/H66</f>
        <v>5.0922600089358696E-4</v>
      </c>
      <c r="K66" s="3">
        <f>19150000/H66</f>
        <v>2.2264104833589478E-3</v>
      </c>
      <c r="L66" s="3">
        <f>7440000/H66</f>
        <v>8.6498663165486013E-4</v>
      </c>
    </row>
    <row r="67" spans="3:12">
      <c r="C67" t="s">
        <v>40</v>
      </c>
      <c r="D67" t="s">
        <v>518</v>
      </c>
      <c r="E67" t="s">
        <v>609</v>
      </c>
      <c r="F67" t="s">
        <v>690</v>
      </c>
      <c r="G67" t="s">
        <v>758</v>
      </c>
      <c r="H67" s="3">
        <v>3143197896</v>
      </c>
      <c r="I67" s="3">
        <f>20150000/H67</f>
        <v>6.4106685823513291E-3</v>
      </c>
      <c r="J67" s="3">
        <f>48870000/H67</f>
        <v>1.5547859732978137E-2</v>
      </c>
      <c r="K67" s="3">
        <f>46860000/H67</f>
        <v>1.4908383611363934E-2</v>
      </c>
      <c r="L67" s="3">
        <f>12960000/H67</f>
        <v>4.1231893214527656E-3</v>
      </c>
    </row>
    <row r="68" spans="3:12">
      <c r="C68" t="s">
        <v>226</v>
      </c>
      <c r="D68" t="s">
        <v>577</v>
      </c>
      <c r="E68" t="s">
        <v>666</v>
      </c>
      <c r="F68" t="s">
        <v>739</v>
      </c>
      <c r="G68" t="s">
        <v>798</v>
      </c>
      <c r="H68" s="3">
        <v>778496300</v>
      </c>
      <c r="I68" s="3">
        <f>51500/H68</f>
        <v>6.6153172468513986E-5</v>
      </c>
      <c r="J68" s="3">
        <f>88400/H68</f>
        <v>1.1355224167410944E-4</v>
      </c>
      <c r="K68" s="3">
        <f>184100/H68</f>
        <v>2.3648153497967813E-4</v>
      </c>
      <c r="L68" s="3">
        <f>102400/H68</f>
        <v>1.3153562836457926E-4</v>
      </c>
    </row>
    <row r="69" spans="3:12">
      <c r="C69" t="s">
        <v>294</v>
      </c>
      <c r="D69" t="s">
        <v>593</v>
      </c>
      <c r="E69" t="s">
        <v>593</v>
      </c>
      <c r="F69" t="s">
        <v>745</v>
      </c>
      <c r="G69" t="s">
        <v>805</v>
      </c>
      <c r="H69" s="3">
        <v>542416800</v>
      </c>
      <c r="I69" s="3">
        <f>400000/H69</f>
        <v>7.3744028577285949E-4</v>
      </c>
      <c r="J69" s="3">
        <f>400280/H69</f>
        <v>7.3795649397290057E-4</v>
      </c>
      <c r="K69" s="3">
        <f>3200/H69</f>
        <v>5.8995222861828767E-6</v>
      </c>
      <c r="L69" s="3">
        <f>20200/H69</f>
        <v>3.7240734431529409E-5</v>
      </c>
    </row>
    <row r="70" spans="3:12">
      <c r="C70" t="s">
        <v>60</v>
      </c>
      <c r="D70" t="s">
        <v>529</v>
      </c>
      <c r="E70" t="s">
        <v>588</v>
      </c>
      <c r="F70" t="s">
        <v>587</v>
      </c>
      <c r="G70" t="s">
        <v>767</v>
      </c>
      <c r="H70" s="3">
        <v>1092885220</v>
      </c>
      <c r="I70" s="3">
        <f>12930000/H70</f>
        <v>1.1831068591082237E-2</v>
      </c>
      <c r="J70" s="3">
        <f>5000/H70</f>
        <v>4.5750458588871759E-6</v>
      </c>
      <c r="K70" s="3">
        <f>10000/H70</f>
        <v>9.1500917177743518E-6</v>
      </c>
      <c r="L70" s="3">
        <f>2530000/H70</f>
        <v>2.3149732045969107E-3</v>
      </c>
    </row>
    <row r="71" spans="3:12">
      <c r="C71" t="s">
        <v>51</v>
      </c>
      <c r="D71" t="s">
        <v>523</v>
      </c>
      <c r="E71" t="s">
        <v>616</v>
      </c>
      <c r="F71" t="s">
        <v>695</v>
      </c>
      <c r="G71" t="s">
        <v>762</v>
      </c>
      <c r="H71" s="3">
        <v>2202214372</v>
      </c>
      <c r="I71" s="3">
        <f>15770000/H71</f>
        <v>7.1609740634278269E-3</v>
      </c>
      <c r="J71" s="3">
        <f>6690000/H71</f>
        <v>3.0378513940603779E-3</v>
      </c>
      <c r="K71" s="3">
        <f>18490000/H71</f>
        <v>8.3960945106392217E-3</v>
      </c>
      <c r="L71" s="3">
        <f>16800000/H71</f>
        <v>7.6286851151292001E-3</v>
      </c>
    </row>
    <row r="72" spans="3:12">
      <c r="C72" t="s">
        <v>147</v>
      </c>
      <c r="D72" t="s">
        <v>562</v>
      </c>
      <c r="E72" t="s">
        <v>652</v>
      </c>
      <c r="F72" t="s">
        <v>727</v>
      </c>
      <c r="G72" t="s">
        <v>789</v>
      </c>
      <c r="H72" s="3">
        <v>1120776860</v>
      </c>
      <c r="I72" s="3">
        <f>1030000/H72</f>
        <v>9.1900541201394897E-4</v>
      </c>
      <c r="J72" s="3">
        <f>2810000/H72</f>
        <v>2.5071895220963075E-3</v>
      </c>
      <c r="K72" s="3">
        <f>947400/H72</f>
        <v>8.453065314000148E-4</v>
      </c>
      <c r="L72" s="3">
        <f>4440000/H72</f>
        <v>3.9615378925649839E-3</v>
      </c>
    </row>
    <row r="73" spans="3:12">
      <c r="C73" t="s">
        <v>53</v>
      </c>
      <c r="D73" t="s">
        <v>524</v>
      </c>
      <c r="E73" t="s">
        <v>617</v>
      </c>
      <c r="F73" t="s">
        <v>696</v>
      </c>
      <c r="G73" t="s">
        <v>763</v>
      </c>
      <c r="H73" s="3">
        <v>8839230242</v>
      </c>
      <c r="I73" s="3">
        <f>15440000/H73</f>
        <v>1.7467584367964696E-3</v>
      </c>
      <c r="J73" s="3">
        <f>4430000/H73</f>
        <v>5.0117486237100778E-4</v>
      </c>
      <c r="K73" s="3">
        <f>16330000/H73</f>
        <v>1.8474459373631056E-3</v>
      </c>
      <c r="L73" s="3">
        <f>20480000/H73</f>
        <v>2.3169438332637112E-3</v>
      </c>
    </row>
    <row r="74" spans="3:12">
      <c r="C74" t="s">
        <v>183</v>
      </c>
      <c r="D74" t="s">
        <v>572</v>
      </c>
      <c r="E74" t="s">
        <v>662</v>
      </c>
      <c r="F74" t="s">
        <v>734</v>
      </c>
      <c r="G74" t="s">
        <v>795</v>
      </c>
      <c r="H74" s="3">
        <v>419982000</v>
      </c>
      <c r="I74" s="3">
        <f>353000/H74</f>
        <v>8.4051221242815164E-4</v>
      </c>
      <c r="J74" s="3">
        <f>867300/H74</f>
        <v>2.0650885037930195E-3</v>
      </c>
      <c r="K74" s="3">
        <f>147300/H74</f>
        <v>3.5072931697072732E-4</v>
      </c>
      <c r="L74" s="3">
        <f>7750000/H74</f>
        <v>1.8453171802601063E-2</v>
      </c>
    </row>
    <row r="75" spans="3:12">
      <c r="C75" t="s">
        <v>45</v>
      </c>
      <c r="D75" t="s">
        <v>520</v>
      </c>
      <c r="E75" t="s">
        <v>612</v>
      </c>
      <c r="F75" t="s">
        <v>692</v>
      </c>
      <c r="G75" t="s">
        <v>760</v>
      </c>
      <c r="H75" s="3">
        <v>5725612500</v>
      </c>
      <c r="I75" s="3">
        <f>18200000/H75</f>
        <v>3.1786992221356229E-3</v>
      </c>
      <c r="J75" s="3">
        <f>6360000/H75</f>
        <v>1.1107981897133276E-3</v>
      </c>
      <c r="K75" s="3">
        <f>7040000/H75</f>
        <v>1.2295627760348783E-3</v>
      </c>
      <c r="L75" s="3">
        <f>11500000/H75</f>
        <v>2.00851873926152E-3</v>
      </c>
    </row>
    <row r="76" spans="3:12">
      <c r="C76" t="s">
        <v>104</v>
      </c>
      <c r="D76" t="s">
        <v>545</v>
      </c>
      <c r="E76" t="s">
        <v>637</v>
      </c>
      <c r="F76" t="s">
        <v>675</v>
      </c>
      <c r="G76" t="s">
        <v>779</v>
      </c>
      <c r="H76" s="3">
        <v>1510817778</v>
      </c>
      <c r="I76" s="3">
        <f>4370000/H76</f>
        <v>2.8924732443808983E-3</v>
      </c>
      <c r="J76" s="3">
        <f>4110000/H76</f>
        <v>2.7203810147380992E-3</v>
      </c>
      <c r="K76" s="3">
        <f>1810000/H76</f>
        <v>1.1980266755902578E-3</v>
      </c>
      <c r="L76" s="3">
        <f>2700000/H76</f>
        <v>1.787111615521379E-3</v>
      </c>
    </row>
    <row r="77" spans="3:12">
      <c r="C77" t="s">
        <v>59</v>
      </c>
      <c r="D77" t="s">
        <v>528</v>
      </c>
      <c r="E77" t="s">
        <v>621</v>
      </c>
      <c r="F77" t="s">
        <v>700</v>
      </c>
      <c r="G77" t="s">
        <v>766</v>
      </c>
      <c r="H77" s="3">
        <v>4610253113</v>
      </c>
      <c r="I77" s="3">
        <f>13050000/H77</f>
        <v>2.8306471857698196E-3</v>
      </c>
      <c r="J77" s="3">
        <f>34440000/H77</f>
        <v>7.4703056764683978E-3</v>
      </c>
      <c r="K77" s="3">
        <f>28960000/H77</f>
        <v>6.2816507662754005E-3</v>
      </c>
      <c r="L77" s="3">
        <f>20450000/H77</f>
        <v>4.4357651301910198E-3</v>
      </c>
    </row>
    <row r="78" spans="3:12">
      <c r="C78" t="s">
        <v>89</v>
      </c>
      <c r="D78" t="s">
        <v>539</v>
      </c>
      <c r="E78" t="s">
        <v>631</v>
      </c>
      <c r="F78" t="s">
        <v>708</v>
      </c>
      <c r="G78" t="s">
        <v>775</v>
      </c>
      <c r="H78" s="3">
        <v>2895556451</v>
      </c>
      <c r="I78" s="3">
        <f>5990000/H78</f>
        <v>2.0686870041616051E-3</v>
      </c>
      <c r="J78" s="3">
        <f>5090000/H78</f>
        <v>1.7578659183944193E-3</v>
      </c>
      <c r="K78" s="3">
        <f>28860000/H78</f>
        <v>9.9669961502677675E-3</v>
      </c>
      <c r="L78" s="3">
        <f>6490000/H78</f>
        <v>2.2413653851433755E-3</v>
      </c>
    </row>
    <row r="79" spans="3:12">
      <c r="C79" t="s">
        <v>41</v>
      </c>
      <c r="D79" t="s">
        <v>519</v>
      </c>
      <c r="E79" t="s">
        <v>610</v>
      </c>
      <c r="F79" t="s">
        <v>691</v>
      </c>
      <c r="G79" t="s">
        <v>759</v>
      </c>
      <c r="H79" s="3">
        <v>3134001372</v>
      </c>
      <c r="I79" s="3">
        <f>19800000/H79</f>
        <v>6.317801956597229E-3</v>
      </c>
      <c r="J79" s="3">
        <f>38020000/H79</f>
        <v>1.2131456080294275E-2</v>
      </c>
      <c r="K79" s="3">
        <f>21090000/H79</f>
        <v>6.7294163264967457E-3</v>
      </c>
      <c r="L79" s="3">
        <f>36300000/H79</f>
        <v>1.1582636920428253E-2</v>
      </c>
    </row>
    <row r="80" spans="3:12">
      <c r="C80" t="s">
        <v>169</v>
      </c>
      <c r="D80" t="s">
        <v>570</v>
      </c>
      <c r="E80" t="s">
        <v>660</v>
      </c>
      <c r="F80" t="s">
        <v>733</v>
      </c>
      <c r="G80" t="s">
        <v>794</v>
      </c>
      <c r="H80" s="3">
        <v>77229000</v>
      </c>
      <c r="I80" s="3">
        <f>527300/H80</f>
        <v>6.8277460539434669E-3</v>
      </c>
      <c r="J80" s="3">
        <f>35100/H80</f>
        <v>4.5449248339354386E-4</v>
      </c>
      <c r="K80" s="3">
        <f>146000/H80</f>
        <v>1.8904815548563363E-3</v>
      </c>
      <c r="L80" s="3">
        <f>170100/H80</f>
        <v>2.2025404964456357E-3</v>
      </c>
    </row>
  </sheetData>
  <sortState ref="C6:G563">
    <sortCondition ref="C6"/>
  </sortState>
  <phoneticPr fontId="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8"/>
  <sheetViews>
    <sheetView topLeftCell="BC8" workbookViewId="0">
      <selection activeCell="BE14" sqref="BE14"/>
    </sheetView>
  </sheetViews>
  <sheetFormatPr defaultRowHeight="15"/>
  <cols>
    <col min="10" max="10" width="12" bestFit="1" customWidth="1"/>
    <col min="20" max="20" width="8.28515625" bestFit="1" customWidth="1"/>
    <col min="21" max="21" width="10.42578125" bestFit="1" customWidth="1"/>
    <col min="39" max="39" width="9.85546875" bestFit="1" customWidth="1"/>
    <col min="40" max="40" width="17.42578125" bestFit="1" customWidth="1"/>
    <col min="41" max="41" width="23.42578125" bestFit="1" customWidth="1"/>
    <col min="42" max="42" width="16" bestFit="1" customWidth="1"/>
    <col min="43" max="43" width="9" bestFit="1" customWidth="1"/>
    <col min="64" max="64" width="111.42578125" bestFit="1" customWidth="1"/>
  </cols>
  <sheetData>
    <row r="1" spans="1:70">
      <c r="B1" s="8" t="s">
        <v>4517</v>
      </c>
      <c r="C1" s="8" t="s">
        <v>4518</v>
      </c>
      <c r="D1" s="8" t="s">
        <v>4519</v>
      </c>
      <c r="E1" s="8" t="s">
        <v>4520</v>
      </c>
      <c r="F1" s="8" t="s">
        <v>4521</v>
      </c>
      <c r="G1" s="8" t="s">
        <v>4522</v>
      </c>
      <c r="H1" s="8" t="s">
        <v>4592</v>
      </c>
    </row>
    <row r="2" spans="1:70" ht="16.5" customHeight="1">
      <c r="A2" s="12" t="s">
        <v>4516</v>
      </c>
      <c r="B2" s="3">
        <f>Volume!I6</f>
        <v>6.0892465252377469E-3</v>
      </c>
      <c r="C2" s="9">
        <f>ROA!D8</f>
        <v>0.2031</v>
      </c>
      <c r="D2" s="9">
        <f>Leverage!C8</f>
        <v>7.1000000000000004E-3</v>
      </c>
      <c r="E2" s="9">
        <f>'Sales Growth'!C7</f>
        <v>0.15939999999999999</v>
      </c>
      <c r="F2">
        <f>LN(3730000000000)</f>
        <v>28.947429349584272</v>
      </c>
      <c r="G2" s="8">
        <f>DPR!H5</f>
        <v>0.44504399999999994</v>
      </c>
      <c r="H2" s="8">
        <f>Investment!C7</f>
        <v>4.19E-2</v>
      </c>
      <c r="J2">
        <f>LN(B2+1)</f>
        <v>6.0707819824710064E-3</v>
      </c>
      <c r="K2">
        <f t="shared" ref="K2:P2" si="0">LN(C2)</f>
        <v>-1.5940568103957979</v>
      </c>
      <c r="L2">
        <f t="shared" si="0"/>
        <v>-4.9476604949348673</v>
      </c>
      <c r="M2">
        <f t="shared" si="0"/>
        <v>-1.8363385126260225</v>
      </c>
      <c r="N2">
        <f t="shared" si="0"/>
        <v>3.3654814038616814</v>
      </c>
      <c r="O2">
        <f t="shared" si="0"/>
        <v>-0.80958212529935203</v>
      </c>
      <c r="P2">
        <f t="shared" si="0"/>
        <v>-3.1724694520540448</v>
      </c>
      <c r="AX2" s="15" t="s">
        <v>4645</v>
      </c>
      <c r="AY2" s="15"/>
      <c r="AZ2" s="15"/>
      <c r="BA2" s="15"/>
      <c r="BB2" s="15"/>
      <c r="BC2" s="15"/>
      <c r="BD2" s="15"/>
      <c r="BE2" s="15"/>
      <c r="BF2" s="15"/>
      <c r="BG2" s="15"/>
      <c r="BH2" s="16"/>
      <c r="BL2" t="s">
        <v>4656</v>
      </c>
    </row>
    <row r="3" spans="1:70" ht="16.5" customHeight="1">
      <c r="A3" s="12"/>
      <c r="B3" s="3">
        <f>Volume!J6</f>
        <v>2.8090709583028528E-4</v>
      </c>
      <c r="C3" s="9">
        <f>ROA!E8</f>
        <v>0.19059999999999999</v>
      </c>
      <c r="D3" s="9">
        <f>Leverage!D8</f>
        <v>1.4E-3</v>
      </c>
      <c r="E3" s="9">
        <f>'Sales Growth'!D7</f>
        <v>0.13250000000000001</v>
      </c>
      <c r="F3">
        <f>LN(4430000000000)</f>
        <v>29.119420699985593</v>
      </c>
      <c r="G3" s="8">
        <f>DPR!I5</f>
        <v>0.34591500000000003</v>
      </c>
      <c r="H3" s="8">
        <f>Investment!D7</f>
        <v>7.9200000000000007E-2</v>
      </c>
      <c r="J3">
        <f t="shared" ref="J3:J63" si="1">LN(B3+1)</f>
        <v>2.8086764881916514E-4</v>
      </c>
      <c r="K3">
        <f t="shared" ref="K3:K63" si="2">LN(C3)</f>
        <v>-1.6575782877620353</v>
      </c>
      <c r="L3">
        <f t="shared" ref="L3:L63" si="3">LN(D3)</f>
        <v>-6.5712830423609239</v>
      </c>
      <c r="M3">
        <f t="shared" ref="M3:M63" si="4">LN(E3)</f>
        <v>-2.0211726335558602</v>
      </c>
      <c r="N3">
        <f t="shared" ref="N3:N63" si="5">LN(F3)</f>
        <v>3.3714053295861555</v>
      </c>
      <c r="O3">
        <f t="shared" ref="O3:O63" si="6">LN(G3)</f>
        <v>-1.0615621988448223</v>
      </c>
      <c r="P3">
        <f t="shared" ref="P3:P63" si="7">LN(H3)</f>
        <v>-2.5357789801617567</v>
      </c>
      <c r="AX3" s="36" t="s">
        <v>4611</v>
      </c>
      <c r="AY3" s="37" t="s">
        <v>4628</v>
      </c>
      <c r="AZ3" s="38" t="s">
        <v>4646</v>
      </c>
      <c r="BA3" s="39" t="s">
        <v>4630</v>
      </c>
      <c r="BB3" s="39" t="s">
        <v>4631</v>
      </c>
      <c r="BC3" s="39" t="s">
        <v>4632</v>
      </c>
      <c r="BD3" s="39"/>
      <c r="BE3" s="39"/>
      <c r="BF3" s="39"/>
      <c r="BG3" s="40"/>
      <c r="BH3" s="16"/>
      <c r="BL3" t="s">
        <v>4611</v>
      </c>
      <c r="BN3" t="s">
        <v>4649</v>
      </c>
      <c r="BO3" t="s">
        <v>4650</v>
      </c>
      <c r="BP3" t="s">
        <v>4651</v>
      </c>
      <c r="BQ3" t="s">
        <v>4652</v>
      </c>
      <c r="BR3" t="s">
        <v>4615</v>
      </c>
    </row>
    <row r="4" spans="1:70" ht="28.5">
      <c r="A4" s="12"/>
      <c r="B4" s="3">
        <f>Volume!K6</f>
        <v>2.1155815654718361E-3</v>
      </c>
      <c r="C4" s="9">
        <f>ROA!F8</f>
        <v>0.19789999999999999</v>
      </c>
      <c r="D4" s="9">
        <f>Leverage!E8</f>
        <v>3.82E-3</v>
      </c>
      <c r="E4" s="9">
        <f>'Sales Growth'!E7</f>
        <v>0.1346</v>
      </c>
      <c r="F4">
        <f>LN(5320000000000)</f>
        <v>29.302494419282102</v>
      </c>
      <c r="G4" s="8">
        <f>DPR!J5</f>
        <v>0.59975000000000001</v>
      </c>
      <c r="H4" s="8">
        <f>Investment!E7</f>
        <v>3.7400000000000003E-2</v>
      </c>
      <c r="J4">
        <f t="shared" si="1"/>
        <v>2.1133468740181212E-3</v>
      </c>
      <c r="K4">
        <f t="shared" si="2"/>
        <v>-1.6199934263736171</v>
      </c>
      <c r="L4">
        <f t="shared" si="3"/>
        <v>-5.5675048563636533</v>
      </c>
      <c r="M4">
        <f t="shared" si="4"/>
        <v>-2.0054478617715095</v>
      </c>
      <c r="N4">
        <f t="shared" si="5"/>
        <v>3.3776726461632425</v>
      </c>
      <c r="O4">
        <f t="shared" si="6"/>
        <v>-0.51124237726233313</v>
      </c>
      <c r="P4">
        <f t="shared" si="7"/>
        <v>-3.2860845745616509</v>
      </c>
      <c r="AB4" s="31" t="s">
        <v>4610</v>
      </c>
      <c r="AC4" s="31"/>
      <c r="AD4" s="31"/>
      <c r="AE4" s="31"/>
      <c r="AF4" s="31"/>
      <c r="AG4" s="31"/>
      <c r="AH4" s="31"/>
      <c r="AX4" s="17"/>
      <c r="AY4" s="18"/>
      <c r="AZ4" s="41"/>
      <c r="BA4" s="19"/>
      <c r="BB4" s="19"/>
      <c r="BC4" s="19" t="s">
        <v>4634</v>
      </c>
      <c r="BD4" s="19" t="s">
        <v>4635</v>
      </c>
      <c r="BE4" s="19" t="s">
        <v>4636</v>
      </c>
      <c r="BF4" s="19" t="s">
        <v>4637</v>
      </c>
      <c r="BG4" s="20" t="s">
        <v>4638</v>
      </c>
      <c r="BH4" s="16"/>
      <c r="BL4">
        <v>1</v>
      </c>
      <c r="BM4" t="s">
        <v>4653</v>
      </c>
      <c r="BN4">
        <v>27.952000000000002</v>
      </c>
      <c r="BO4">
        <v>6</v>
      </c>
      <c r="BP4">
        <v>4.6589999999999998</v>
      </c>
      <c r="BQ4">
        <v>853.17499999999995</v>
      </c>
      <c r="BR4" t="s">
        <v>4657</v>
      </c>
    </row>
    <row r="5" spans="1:70" ht="16.5" customHeight="1">
      <c r="A5" s="12"/>
      <c r="B5" s="3">
        <f>Volume!L6</f>
        <v>1.9195318215069494E-3</v>
      </c>
      <c r="C5" s="9">
        <f>ROA!G8</f>
        <v>0.17219999999999999</v>
      </c>
      <c r="D5" s="9">
        <f>Leverage!F8</f>
        <v>2.1600000000000001E-2</v>
      </c>
      <c r="E5" s="9">
        <f>'Sales Growth'!F7</f>
        <v>0.12640000000000001</v>
      </c>
      <c r="F5">
        <f>LN(6650000000000)</f>
        <v>29.525637970596311</v>
      </c>
      <c r="G5" s="8">
        <f>DPR!K5</f>
        <v>0.58831</v>
      </c>
      <c r="H5" s="8">
        <f>Investment!F7</f>
        <v>3.3300000000000003E-2</v>
      </c>
      <c r="J5">
        <f t="shared" si="1"/>
        <v>1.9176918744818275E-3</v>
      </c>
      <c r="K5">
        <f t="shared" si="2"/>
        <v>-1.7590986869885066</v>
      </c>
      <c r="L5">
        <f t="shared" si="3"/>
        <v>-3.8350619642920178</v>
      </c>
      <c r="M5">
        <f t="shared" si="4"/>
        <v>-2.0683037972693801</v>
      </c>
      <c r="N5">
        <f t="shared" si="5"/>
        <v>3.3852589696601858</v>
      </c>
      <c r="O5">
        <f t="shared" si="6"/>
        <v>-0.53050125912598767</v>
      </c>
      <c r="P5">
        <f t="shared" si="7"/>
        <v>-3.4021978819957388</v>
      </c>
      <c r="AB5" s="32" t="s">
        <v>4611</v>
      </c>
      <c r="AC5" s="32"/>
      <c r="AD5" s="32" t="s">
        <v>4612</v>
      </c>
      <c r="AE5" s="32"/>
      <c r="AF5" s="32" t="s">
        <v>4613</v>
      </c>
      <c r="AG5" s="32" t="s">
        <v>4614</v>
      </c>
      <c r="AH5" s="32" t="s">
        <v>4615</v>
      </c>
      <c r="AK5" s="31" t="s">
        <v>4627</v>
      </c>
      <c r="AL5" s="31"/>
      <c r="AM5" s="31"/>
      <c r="AN5" s="31"/>
      <c r="AO5" s="31"/>
      <c r="AP5" s="31"/>
      <c r="AQ5" s="31"/>
      <c r="AR5" s="31"/>
      <c r="AS5" s="31"/>
      <c r="AX5" s="42" t="s">
        <v>4641</v>
      </c>
      <c r="AY5" s="43" t="s">
        <v>4648</v>
      </c>
      <c r="AZ5" s="44">
        <v>0.96512101070051437</v>
      </c>
      <c r="BA5" s="44">
        <v>0.9639898002367473</v>
      </c>
      <c r="BB5" s="45">
        <v>7.3894414733683536E-2</v>
      </c>
      <c r="BC5" s="44">
        <v>0.96512101070051437</v>
      </c>
      <c r="BD5" s="44">
        <v>853.17546258060224</v>
      </c>
      <c r="BE5" s="46">
        <v>6</v>
      </c>
      <c r="BF5" s="46">
        <v>185</v>
      </c>
      <c r="BG5" s="47">
        <v>6.3368390261834973E-132</v>
      </c>
      <c r="BH5" s="16"/>
      <c r="BM5" t="s">
        <v>4654</v>
      </c>
      <c r="BN5">
        <v>1.01</v>
      </c>
      <c r="BO5">
        <v>185</v>
      </c>
      <c r="BP5">
        <v>5.0000000000000001E-3</v>
      </c>
    </row>
    <row r="6" spans="1:70" ht="199.5">
      <c r="A6" s="12" t="s">
        <v>4525</v>
      </c>
      <c r="B6" s="5">
        <f>Volume!I9</f>
        <v>9.4782110091743126E-3</v>
      </c>
      <c r="C6" s="9">
        <f>ROA!D11</f>
        <v>1.7000000000000001E-2</v>
      </c>
      <c r="D6" s="9">
        <f>Leverage!C11</f>
        <v>0.20069999999999999</v>
      </c>
      <c r="E6" s="9">
        <f>'Sales Growth'!C10</f>
        <v>0.11409999999999999</v>
      </c>
      <c r="F6" s="8">
        <f>LN(20040000000000)</f>
        <v>30.628751392145212</v>
      </c>
      <c r="G6" s="8">
        <f>DPR!H8</f>
        <v>0.299954</v>
      </c>
      <c r="H6" s="8">
        <f>Investment!C10</f>
        <v>2.01E-2</v>
      </c>
      <c r="J6">
        <f t="shared" si="1"/>
        <v>9.4335745944546644E-3</v>
      </c>
      <c r="K6">
        <f t="shared" si="2"/>
        <v>-4.0745419349259206</v>
      </c>
      <c r="L6">
        <f t="shared" si="3"/>
        <v>-1.6059440231798447</v>
      </c>
      <c r="M6">
        <f t="shared" si="4"/>
        <v>-2.1706800221141074</v>
      </c>
      <c r="N6">
        <f t="shared" si="5"/>
        <v>3.4219391558004548</v>
      </c>
      <c r="O6">
        <f t="shared" si="6"/>
        <v>-1.2041261494160267</v>
      </c>
      <c r="P6">
        <f t="shared" si="7"/>
        <v>-3.907035463917107</v>
      </c>
      <c r="AB6" s="32"/>
      <c r="AC6" s="32"/>
      <c r="AD6" s="32" t="s">
        <v>4616</v>
      </c>
      <c r="AE6" s="32" t="s">
        <v>4617</v>
      </c>
      <c r="AF6" s="32" t="s">
        <v>4618</v>
      </c>
      <c r="AG6" s="32"/>
      <c r="AH6" s="32"/>
      <c r="AK6" s="32" t="s">
        <v>4611</v>
      </c>
      <c r="AL6" s="32" t="s">
        <v>4628</v>
      </c>
      <c r="AM6" s="32" t="s">
        <v>4629</v>
      </c>
      <c r="AN6" s="32" t="s">
        <v>4630</v>
      </c>
      <c r="AO6" s="32" t="s">
        <v>4631</v>
      </c>
      <c r="AP6" s="32" t="s">
        <v>4632</v>
      </c>
      <c r="AQ6" s="32"/>
      <c r="AR6" s="32" t="s">
        <v>4633</v>
      </c>
      <c r="AS6" s="32"/>
      <c r="AX6" s="30" t="s">
        <v>4647</v>
      </c>
      <c r="AY6" s="30"/>
      <c r="AZ6" s="30"/>
      <c r="BA6" s="30"/>
      <c r="BB6" s="30"/>
      <c r="BC6" s="30"/>
      <c r="BD6" s="30"/>
      <c r="BE6" s="30"/>
      <c r="BF6" s="30"/>
      <c r="BG6" s="30"/>
      <c r="BH6" s="16"/>
      <c r="BM6" t="s">
        <v>4655</v>
      </c>
      <c r="BN6" t="s">
        <v>4658</v>
      </c>
      <c r="BO6">
        <v>191</v>
      </c>
    </row>
    <row r="7" spans="1:70" ht="409.5">
      <c r="A7" s="12"/>
      <c r="B7" s="5">
        <f>Volume!J9</f>
        <v>1.2844036697247706E-3</v>
      </c>
      <c r="C7" s="9">
        <f>ROA!E11</f>
        <v>2.1299999999999999E-2</v>
      </c>
      <c r="D7" s="9">
        <f>Leverage!D11</f>
        <v>0.29389999999999999</v>
      </c>
      <c r="E7" s="9">
        <f>'Sales Growth'!D10</f>
        <v>0.16020000000000001</v>
      </c>
      <c r="F7" s="8">
        <f>LN(28330000000000)</f>
        <v>30.974942429770973</v>
      </c>
      <c r="G7" s="8">
        <f>DPR!I8</f>
        <v>0.30001899999999998</v>
      </c>
      <c r="H7" s="8">
        <f>Investment!D10</f>
        <v>6.8999999999999999E-3</v>
      </c>
      <c r="J7">
        <f t="shared" si="1"/>
        <v>1.2835795289422359E-3</v>
      </c>
      <c r="K7">
        <f t="shared" si="2"/>
        <v>-3.8490482062667577</v>
      </c>
      <c r="L7">
        <f t="shared" si="3"/>
        <v>-1.2245157055572653</v>
      </c>
      <c r="M7">
        <f t="shared" si="4"/>
        <v>-1.8313322443478781</v>
      </c>
      <c r="N7">
        <f t="shared" si="5"/>
        <v>3.4331785689104435</v>
      </c>
      <c r="O7">
        <f t="shared" si="6"/>
        <v>-1.2039094729980737</v>
      </c>
      <c r="P7">
        <f t="shared" si="7"/>
        <v>-4.976233867378923</v>
      </c>
      <c r="AB7" s="32">
        <v>1</v>
      </c>
      <c r="AC7" s="32" t="s">
        <v>4619</v>
      </c>
      <c r="AD7" s="32">
        <v>0.19</v>
      </c>
      <c r="AE7" s="32">
        <v>0.224</v>
      </c>
      <c r="AF7" s="32">
        <v>1.339</v>
      </c>
      <c r="AG7" s="32">
        <v>0.84599999999999997</v>
      </c>
      <c r="AH7" s="32">
        <v>0.39800000000000002</v>
      </c>
      <c r="AK7" s="32"/>
      <c r="AL7" s="32"/>
      <c r="AM7" s="32"/>
      <c r="AN7" s="32"/>
      <c r="AO7" s="32"/>
      <c r="AP7" s="32" t="s">
        <v>4634</v>
      </c>
      <c r="AQ7" s="32" t="s">
        <v>4635</v>
      </c>
      <c r="AR7" s="32"/>
      <c r="AS7" s="32"/>
      <c r="AX7" s="30" t="s">
        <v>4642</v>
      </c>
      <c r="AY7" s="30"/>
      <c r="AZ7" s="30"/>
      <c r="BA7" s="30"/>
      <c r="BB7" s="30"/>
      <c r="BC7" s="30"/>
      <c r="BD7" s="30"/>
      <c r="BE7" s="30"/>
      <c r="BF7" s="30"/>
      <c r="BG7" s="30"/>
      <c r="BH7" s="16"/>
      <c r="BL7" t="s">
        <v>4659</v>
      </c>
    </row>
    <row r="8" spans="1:70" ht="71.25">
      <c r="A8" s="12"/>
      <c r="B8" s="5">
        <f>Volume!K9</f>
        <v>5.0630733944954124E-3</v>
      </c>
      <c r="C8" s="9">
        <f>ROA!F12</f>
        <v>3.8899999999999997E-2</v>
      </c>
      <c r="D8" s="9">
        <f>Leverage!E11</f>
        <v>0.28420000000000001</v>
      </c>
      <c r="E8" s="9">
        <f>'Sales Growth'!E10</f>
        <v>0.10979999999999999</v>
      </c>
      <c r="F8" s="8">
        <f>LN(30090000000000)</f>
        <v>31.035214006570502</v>
      </c>
      <c r="G8" s="8">
        <f>DPR!J8</f>
        <v>0.30003000000000002</v>
      </c>
      <c r="H8" s="8">
        <f>Investment!E10</f>
        <v>5.1000000000000004E-3</v>
      </c>
      <c r="J8">
        <f t="shared" si="1"/>
        <v>5.0502991382508364E-3</v>
      </c>
      <c r="K8">
        <f t="shared" si="2"/>
        <v>-3.2467610283577364</v>
      </c>
      <c r="L8">
        <f t="shared" si="3"/>
        <v>-1.2580770633191367</v>
      </c>
      <c r="M8">
        <f t="shared" si="4"/>
        <v>-2.2090947499067068</v>
      </c>
      <c r="N8">
        <f t="shared" si="5"/>
        <v>3.4351224954941855</v>
      </c>
      <c r="O8">
        <f t="shared" si="6"/>
        <v>-1.2038728093256026</v>
      </c>
      <c r="P8">
        <f t="shared" si="7"/>
        <v>-5.2785147392518565</v>
      </c>
      <c r="AB8" s="32"/>
      <c r="AC8" s="32" t="s">
        <v>4620</v>
      </c>
      <c r="AD8" s="32">
        <v>-0.19</v>
      </c>
      <c r="AE8" s="32">
        <v>0.111</v>
      </c>
      <c r="AF8" s="32">
        <v>-1.258</v>
      </c>
      <c r="AG8" s="32">
        <v>-1.7070000000000001</v>
      </c>
      <c r="AH8" s="32">
        <v>0.09</v>
      </c>
      <c r="AK8" s="32">
        <v>1</v>
      </c>
      <c r="AL8" s="32" t="s">
        <v>4639</v>
      </c>
      <c r="AM8" s="32">
        <v>0.96499999999999997</v>
      </c>
      <c r="AN8" s="32">
        <v>0.96399999999999997</v>
      </c>
      <c r="AO8" s="32">
        <v>7.3894399999999999E-2</v>
      </c>
      <c r="AP8" s="32">
        <v>0.96499999999999997</v>
      </c>
      <c r="AQ8" s="32">
        <v>853.17499999999995</v>
      </c>
      <c r="AR8" s="32">
        <v>1.9910000000000001</v>
      </c>
      <c r="AS8" s="32"/>
      <c r="AX8" s="30" t="s">
        <v>4643</v>
      </c>
      <c r="AY8" s="30"/>
      <c r="AZ8" s="30"/>
      <c r="BA8" s="30"/>
      <c r="BB8" s="30"/>
      <c r="BC8" s="30"/>
      <c r="BD8" s="30"/>
      <c r="BE8" s="30"/>
      <c r="BF8" s="30"/>
      <c r="BG8" s="30"/>
      <c r="BH8" s="16"/>
      <c r="BL8" t="s">
        <v>4626</v>
      </c>
    </row>
    <row r="9" spans="1:70" ht="71.25">
      <c r="A9" s="12"/>
      <c r="B9" s="5">
        <f>Volume!L9</f>
        <v>4.5814220183486238E-3</v>
      </c>
      <c r="C9" s="9">
        <f>ROA!G11</f>
        <v>1.9900000000000001E-2</v>
      </c>
      <c r="D9" s="9">
        <f>Leverage!F11</f>
        <v>0.28810000000000002</v>
      </c>
      <c r="E9" s="9">
        <f>'Sales Growth'!F10</f>
        <v>0.1288</v>
      </c>
      <c r="F9" s="8">
        <f>LN(36520000000000)</f>
        <v>31.228881171655317</v>
      </c>
      <c r="G9" s="8">
        <f>DPR!K8</f>
        <v>0.24998000000000001</v>
      </c>
      <c r="H9" s="8">
        <f>Investment!F10</f>
        <v>9.4000000000000004E-3</v>
      </c>
      <c r="J9">
        <f t="shared" si="1"/>
        <v>4.5709592485654281E-3</v>
      </c>
      <c r="K9">
        <f t="shared" si="2"/>
        <v>-3.9170355472516905</v>
      </c>
      <c r="L9">
        <f t="shared" si="3"/>
        <v>-1.2444476368916542</v>
      </c>
      <c r="M9">
        <f t="shared" si="4"/>
        <v>-2.0494944653118838</v>
      </c>
      <c r="N9">
        <f t="shared" si="5"/>
        <v>3.4413433452179327</v>
      </c>
      <c r="O9">
        <f t="shared" si="6"/>
        <v>-1.3863743643200612</v>
      </c>
      <c r="P9">
        <f t="shared" si="7"/>
        <v>-4.6670455897061789</v>
      </c>
      <c r="AB9" s="32"/>
      <c r="AC9" s="32" t="s">
        <v>4621</v>
      </c>
      <c r="AD9" s="32">
        <v>-2.4E-2</v>
      </c>
      <c r="AE9" s="32">
        <v>7.0999999999999994E-2</v>
      </c>
      <c r="AF9" s="32">
        <v>-0.14599999999999999</v>
      </c>
      <c r="AG9" s="32">
        <v>-0.33100000000000002</v>
      </c>
      <c r="AH9" s="32">
        <v>0.74099999999999999</v>
      </c>
      <c r="AK9" s="33" t="s">
        <v>4640</v>
      </c>
      <c r="AL9" s="34"/>
      <c r="AM9" s="34"/>
      <c r="AN9" s="34"/>
      <c r="AO9" s="34"/>
      <c r="AP9" s="34"/>
      <c r="AQ9" s="34"/>
      <c r="AR9" s="35"/>
      <c r="AS9" s="32"/>
      <c r="AX9" s="30" t="s">
        <v>4644</v>
      </c>
      <c r="AY9" s="30"/>
      <c r="AZ9" s="30"/>
      <c r="BA9" s="30"/>
      <c r="BB9" s="30"/>
      <c r="BC9" s="30"/>
      <c r="BD9" s="30"/>
      <c r="BE9" s="30"/>
      <c r="BF9" s="30"/>
      <c r="BG9" s="30"/>
      <c r="BH9" s="16"/>
      <c r="BL9" t="s">
        <v>4660</v>
      </c>
    </row>
    <row r="10" spans="1:70">
      <c r="A10" s="11"/>
      <c r="B10" s="5">
        <f>Volume!L10</f>
        <v>4.5243282498184456E-3</v>
      </c>
      <c r="C10" s="9">
        <f>ROA!G12</f>
        <v>2.4799999999999999E-2</v>
      </c>
      <c r="D10" s="9">
        <f>Leverage!F12</f>
        <v>0.60009999999999997</v>
      </c>
      <c r="E10" s="9">
        <f>'Sales Growth'!F11</f>
        <v>0.156</v>
      </c>
      <c r="F10" s="8">
        <f>LN(4850000000000)</f>
        <v>29.20999982087794</v>
      </c>
      <c r="G10" s="8">
        <f>DPR!K9</f>
        <v>0.51149500000000003</v>
      </c>
      <c r="H10" s="8">
        <f>Investment!F11</f>
        <v>1.4200000000000001E-2</v>
      </c>
      <c r="J10">
        <f t="shared" si="1"/>
        <v>4.5141242427047404E-3</v>
      </c>
      <c r="K10">
        <f t="shared" si="2"/>
        <v>-3.6969116258112007</v>
      </c>
      <c r="L10">
        <f t="shared" si="3"/>
        <v>-0.5106589709866699</v>
      </c>
      <c r="M10">
        <f t="shared" si="4"/>
        <v>-1.8578992717325999</v>
      </c>
      <c r="N10">
        <f t="shared" si="5"/>
        <v>3.3745111102674326</v>
      </c>
      <c r="O10">
        <f t="shared" si="6"/>
        <v>-0.67041746880929864</v>
      </c>
      <c r="P10">
        <f t="shared" si="7"/>
        <v>-4.2545133143749219</v>
      </c>
      <c r="AB10" s="31" t="s">
        <v>4625</v>
      </c>
      <c r="AC10" s="31"/>
      <c r="AD10" s="31"/>
      <c r="AE10" s="31"/>
      <c r="AF10" s="31"/>
      <c r="AG10" s="31"/>
      <c r="AH10" s="31"/>
      <c r="BL10" t="s">
        <v>4661</v>
      </c>
    </row>
    <row r="11" spans="1:70">
      <c r="A11" s="12" t="s">
        <v>4527</v>
      </c>
      <c r="B11" s="5">
        <f>Volume!I11</f>
        <v>6.9498069498069494E-3</v>
      </c>
      <c r="C11" s="9">
        <f>ROA!D18</f>
        <v>6.5100000000000005E-2</v>
      </c>
      <c r="D11" s="9">
        <f>Leverage!C18</f>
        <v>0.25509999999999999</v>
      </c>
      <c r="E11" s="9">
        <f>Leverage!C18</f>
        <v>0.25509999999999999</v>
      </c>
      <c r="F11" s="8">
        <f>LN(15830000000000)</f>
        <v>30.392927989821469</v>
      </c>
      <c r="G11" s="8">
        <f>DPR!H10</f>
        <v>0.47694300000000001</v>
      </c>
      <c r="H11" s="8">
        <f>Investment!C15</f>
        <v>4.24E-2</v>
      </c>
      <c r="J11">
        <f t="shared" si="1"/>
        <v>6.9257683529600359E-3</v>
      </c>
      <c r="K11">
        <f t="shared" si="2"/>
        <v>-2.7318307297676134</v>
      </c>
      <c r="L11">
        <f t="shared" si="3"/>
        <v>-1.3660996538343713</v>
      </c>
      <c r="M11">
        <f t="shared" si="4"/>
        <v>-1.3660996538343713</v>
      </c>
      <c r="N11">
        <f t="shared" si="5"/>
        <v>3.4142099494354077</v>
      </c>
      <c r="O11">
        <f t="shared" si="6"/>
        <v>-0.7403582920894598</v>
      </c>
      <c r="P11">
        <f t="shared" si="7"/>
        <v>-3.160606916744225</v>
      </c>
      <c r="AB11" s="31" t="s">
        <v>4626</v>
      </c>
      <c r="AC11" s="31"/>
      <c r="AD11" s="31"/>
      <c r="AE11" s="31"/>
      <c r="AF11" s="31"/>
      <c r="AG11" s="31"/>
      <c r="AH11" s="31"/>
    </row>
    <row r="12" spans="1:70">
      <c r="A12" s="12"/>
      <c r="B12" s="5">
        <f>Volume!J11</f>
        <v>5.958815958815959E-3</v>
      </c>
      <c r="C12" s="9">
        <f>ROA!E18</f>
        <v>7.3599999999999999E-2</v>
      </c>
      <c r="D12" s="9">
        <f>Leverage!D18</f>
        <v>0.18859999999999999</v>
      </c>
      <c r="E12" s="9">
        <f>Leverage!D18</f>
        <v>0.18859999999999999</v>
      </c>
      <c r="F12" s="8">
        <f>LN(16820000000000)</f>
        <v>30.45358977047335</v>
      </c>
      <c r="G12" s="8">
        <f>DPR!I10</f>
        <v>0.48144899999999996</v>
      </c>
      <c r="H12" s="8">
        <f>Investment!D15</f>
        <v>3.8899999999999997E-2</v>
      </c>
      <c r="J12">
        <f t="shared" si="1"/>
        <v>5.9411324288281518E-3</v>
      </c>
      <c r="K12">
        <f t="shared" si="2"/>
        <v>-2.6091102532473065</v>
      </c>
      <c r="L12">
        <f t="shared" si="3"/>
        <v>-1.6681269087827799</v>
      </c>
      <c r="M12">
        <f t="shared" si="4"/>
        <v>-1.6681269087827799</v>
      </c>
      <c r="N12">
        <f t="shared" si="5"/>
        <v>3.4162038778632882</v>
      </c>
      <c r="O12">
        <f t="shared" si="6"/>
        <v>-0.73095497235688589</v>
      </c>
      <c r="P12">
        <f t="shared" si="7"/>
        <v>-3.2467610283577364</v>
      </c>
    </row>
    <row r="13" spans="1:70" ht="16.5">
      <c r="A13" s="12"/>
      <c r="B13" s="5">
        <f>Volume!K11</f>
        <v>5.0064350064350062E-3</v>
      </c>
      <c r="C13" s="9">
        <f>ROA!F18</f>
        <v>3.8699999999999998E-2</v>
      </c>
      <c r="D13" s="9">
        <f>Leverage!E18</f>
        <v>0.21210000000000001</v>
      </c>
      <c r="E13" s="9">
        <f>Leverage!E18</f>
        <v>0.21210000000000001</v>
      </c>
      <c r="F13" s="8">
        <f>LN(19940000000000)</f>
        <v>30.623748880462241</v>
      </c>
      <c r="G13" s="8">
        <f>DPR!J10</f>
        <v>0.38930500000000001</v>
      </c>
      <c r="H13" s="8">
        <f>Investment!E15</f>
        <v>6.6500000000000004E-2</v>
      </c>
      <c r="J13">
        <f t="shared" si="1"/>
        <v>4.9939444820175632E-3</v>
      </c>
      <c r="K13">
        <f t="shared" si="2"/>
        <v>-3.2519156789464008</v>
      </c>
      <c r="L13">
        <f t="shared" si="3"/>
        <v>-1.5506974174115002</v>
      </c>
      <c r="M13">
        <f t="shared" si="4"/>
        <v>-1.5506974174115002</v>
      </c>
      <c r="N13">
        <f t="shared" si="5"/>
        <v>3.4217758151475235</v>
      </c>
      <c r="O13">
        <f t="shared" si="6"/>
        <v>-0.94339218088283106</v>
      </c>
      <c r="P13">
        <f t="shared" si="7"/>
        <v>-2.7105533313203285</v>
      </c>
      <c r="S13" s="15" t="s">
        <v>4597</v>
      </c>
      <c r="T13" s="15"/>
      <c r="U13" s="15"/>
      <c r="V13" s="16"/>
    </row>
    <row r="14" spans="1:70" ht="42.75">
      <c r="A14" s="12"/>
      <c r="B14" s="5">
        <f>Volume!L11</f>
        <v>1.608108108108108E-2</v>
      </c>
      <c r="C14" s="9">
        <f>ROA!G18</f>
        <v>3.4500000000000003E-2</v>
      </c>
      <c r="D14" s="9">
        <f>Leverage!F18</f>
        <v>0.21529999999999999</v>
      </c>
      <c r="E14" s="9">
        <f>Leverage!F18</f>
        <v>0.21529999999999999</v>
      </c>
      <c r="F14" s="8">
        <f>LN(21410000000000)</f>
        <v>30.69487921853014</v>
      </c>
      <c r="G14" s="8">
        <f>DPR!K10</f>
        <v>0.53974699999999998</v>
      </c>
      <c r="H14" s="8">
        <f>Investment!F15</f>
        <v>3.9100000000000003E-2</v>
      </c>
      <c r="J14">
        <f t="shared" si="1"/>
        <v>1.5953150185765669E-2</v>
      </c>
      <c r="K14">
        <f t="shared" si="2"/>
        <v>-3.366795954944823</v>
      </c>
      <c r="L14">
        <f t="shared" si="3"/>
        <v>-1.5357228746118197</v>
      </c>
      <c r="M14">
        <f t="shared" si="4"/>
        <v>-1.5357228746118197</v>
      </c>
      <c r="N14">
        <f t="shared" si="5"/>
        <v>3.4240958399810237</v>
      </c>
      <c r="O14">
        <f t="shared" si="6"/>
        <v>-0.61665476773143013</v>
      </c>
      <c r="P14">
        <f t="shared" si="7"/>
        <v>-3.2416328119908169</v>
      </c>
      <c r="S14" s="17" t="s">
        <v>4593</v>
      </c>
      <c r="T14" s="17"/>
      <c r="U14" s="24" t="s">
        <v>4598</v>
      </c>
      <c r="V14" s="16"/>
    </row>
    <row r="15" spans="1:70">
      <c r="A15" s="12" t="s">
        <v>4528</v>
      </c>
      <c r="B15" s="5">
        <f>Volume!I17</f>
        <v>2.2544417252555321E-3</v>
      </c>
      <c r="C15" s="9">
        <f>ROA!D42</f>
        <v>8.7800000000000003E-2</v>
      </c>
      <c r="D15" s="9">
        <f>Leverage!C43</f>
        <v>0.16930000000000001</v>
      </c>
      <c r="E15" s="9">
        <f>'Sales Growth'!C32</f>
        <v>6.7599999999999993E-2</v>
      </c>
      <c r="F15" s="8">
        <f>LN(24230000000000)</f>
        <v>30.818612650756982</v>
      </c>
      <c r="G15" s="8">
        <f>DPR!H14</f>
        <v>0.44977099999999998</v>
      </c>
      <c r="H15" s="8">
        <f>Investment!C37</f>
        <v>9.9900000000000003E-2</v>
      </c>
      <c r="J15">
        <f t="shared" si="1"/>
        <v>2.2519042844684847E-3</v>
      </c>
      <c r="K15">
        <f t="shared" si="2"/>
        <v>-2.4326937783410663</v>
      </c>
      <c r="L15">
        <f t="shared" si="3"/>
        <v>-1.7760829898430475</v>
      </c>
      <c r="M15">
        <f t="shared" si="4"/>
        <v>-2.6941472959332189</v>
      </c>
      <c r="N15">
        <f t="shared" si="5"/>
        <v>3.4281188143024361</v>
      </c>
      <c r="O15">
        <f t="shared" si="6"/>
        <v>-0.79901671463455659</v>
      </c>
      <c r="P15">
        <f t="shared" si="7"/>
        <v>-2.3035855933276292</v>
      </c>
      <c r="S15" s="21" t="s">
        <v>4594</v>
      </c>
      <c r="T15" s="21"/>
      <c r="U15" s="25">
        <v>191</v>
      </c>
      <c r="V15" s="16"/>
    </row>
    <row r="16" spans="1:70" ht="44.25">
      <c r="A16" s="12"/>
      <c r="B16" s="5">
        <f>Volume!J17</f>
        <v>1.702276134237189E-3</v>
      </c>
      <c r="C16" s="9">
        <f>ROA!E42</f>
        <v>7.9799999999999996E-2</v>
      </c>
      <c r="D16" s="9">
        <f>Leverage!D43</f>
        <v>0.158</v>
      </c>
      <c r="E16" s="9">
        <f>'Sales Growth'!D32</f>
        <v>9.8000000000000004E-2</v>
      </c>
      <c r="F16" s="8">
        <f>LN(25120000000000)</f>
        <v>30.854685457528547</v>
      </c>
      <c r="G16" s="8">
        <f>DPR!I14</f>
        <v>0.45965</v>
      </c>
      <c r="H16" s="8">
        <f>Investment!D37</f>
        <v>7.1099999999999997E-2</v>
      </c>
      <c r="J16">
        <f t="shared" si="1"/>
        <v>1.7008289043756578E-3</v>
      </c>
      <c r="K16">
        <f t="shared" si="2"/>
        <v>-2.528231774526374</v>
      </c>
      <c r="L16">
        <f t="shared" si="3"/>
        <v>-1.8451602459551701</v>
      </c>
      <c r="M16">
        <f t="shared" si="4"/>
        <v>-2.322787800311565</v>
      </c>
      <c r="N16">
        <f t="shared" si="5"/>
        <v>3.429288617507118</v>
      </c>
      <c r="O16">
        <f t="shared" si="6"/>
        <v>-0.77728994867237344</v>
      </c>
      <c r="P16">
        <f t="shared" si="7"/>
        <v>-2.6436679421729421</v>
      </c>
      <c r="S16" s="22" t="s">
        <v>4608</v>
      </c>
      <c r="T16" s="22" t="s">
        <v>4595</v>
      </c>
      <c r="U16" s="26">
        <v>-1.584679778346072E-5</v>
      </c>
      <c r="V16" s="16"/>
    </row>
    <row r="17" spans="1:22" ht="28.5">
      <c r="A17" s="12"/>
      <c r="B17" s="5">
        <f>Volume!K17</f>
        <v>1.0132839609146248E-3</v>
      </c>
      <c r="C17" s="9">
        <f>ROA!F42</f>
        <v>5.5399999999999998E-2</v>
      </c>
      <c r="D17" s="9">
        <f>Leverage!E43</f>
        <v>0.1762</v>
      </c>
      <c r="E17" s="9">
        <f>'Sales Growth'!E32</f>
        <v>9.9400000000000002E-2</v>
      </c>
      <c r="F17" s="8">
        <f>LN(26860000000000)</f>
        <v>30.921659307023639</v>
      </c>
      <c r="G17" s="8">
        <f>DPR!J14</f>
        <v>0.44955900000000004</v>
      </c>
      <c r="H17" s="8">
        <f>Investment!E37</f>
        <v>6.1899999999999997E-2</v>
      </c>
      <c r="J17">
        <f t="shared" si="1"/>
        <v>1.0127709352531907E-3</v>
      </c>
      <c r="K17">
        <f t="shared" si="2"/>
        <v>-2.8931756852288988</v>
      </c>
      <c r="L17">
        <f t="shared" si="3"/>
        <v>-1.7361355654800579</v>
      </c>
      <c r="M17">
        <f t="shared" si="4"/>
        <v>-2.3086031653196089</v>
      </c>
      <c r="N17">
        <f t="shared" si="5"/>
        <v>3.4314568868014423</v>
      </c>
      <c r="O17">
        <f t="shared" si="6"/>
        <v>-0.799488176731733</v>
      </c>
      <c r="P17">
        <f t="shared" si="7"/>
        <v>-2.7822350992915865</v>
      </c>
      <c r="S17" s="22"/>
      <c r="T17" s="22" t="s">
        <v>4596</v>
      </c>
      <c r="U17" s="27">
        <v>7.2915635817599495E-2</v>
      </c>
      <c r="V17" s="16"/>
    </row>
    <row r="18" spans="1:22" ht="57">
      <c r="A18" s="12"/>
      <c r="B18" s="5">
        <f>Volume!L17</f>
        <v>4.5523610561030601E-3</v>
      </c>
      <c r="C18" s="9">
        <f>ROA!G42</f>
        <v>7.7999999999999996E-3</v>
      </c>
      <c r="D18" s="9">
        <f>Leverage!F43</f>
        <v>0.21079999999999999</v>
      </c>
      <c r="E18" s="9">
        <f>'Sales Growth'!F32</f>
        <v>2.5000000000000001E-2</v>
      </c>
      <c r="F18" s="8">
        <f>LN(26970000000000)</f>
        <v>30.925746253080188</v>
      </c>
      <c r="G18" s="8">
        <f>DPR!K14</f>
        <v>0.446718</v>
      </c>
      <c r="H18" s="8">
        <f>Investment!F37</f>
        <v>4.8599999999999997E-2</v>
      </c>
      <c r="J18">
        <f t="shared" si="1"/>
        <v>4.5420304012259672E-3</v>
      </c>
      <c r="K18">
        <f t="shared" si="2"/>
        <v>-4.853631545286591</v>
      </c>
      <c r="L18">
        <f t="shared" si="3"/>
        <v>-1.5568454623149299</v>
      </c>
      <c r="M18">
        <f t="shared" si="4"/>
        <v>-3.6888794541139363</v>
      </c>
      <c r="N18">
        <f t="shared" si="5"/>
        <v>3.4315890490490091</v>
      </c>
      <c r="O18">
        <f t="shared" si="6"/>
        <v>-0.8058277559355701</v>
      </c>
      <c r="P18">
        <f t="shared" si="7"/>
        <v>-3.0241317480756891</v>
      </c>
      <c r="S18" s="22" t="s">
        <v>4599</v>
      </c>
      <c r="T18" s="22" t="s">
        <v>4600</v>
      </c>
      <c r="U18" s="28">
        <v>6.1027843537561875E-2</v>
      </c>
      <c r="V18" s="16"/>
    </row>
    <row r="19" spans="1:22">
      <c r="A19" s="12" t="s">
        <v>4529</v>
      </c>
      <c r="B19" s="5">
        <f>Volume!I18</f>
        <v>1.4671731931503403E-3</v>
      </c>
      <c r="C19" s="9">
        <f>ROA!D44</f>
        <v>5.9799999999999999E-2</v>
      </c>
      <c r="D19" s="9">
        <f>Leverage!C45</f>
        <v>0.27079999999999999</v>
      </c>
      <c r="E19" s="9">
        <f>'Sales Growth'!C34</f>
        <v>2.4899999999999999E-2</v>
      </c>
      <c r="F19" s="8">
        <f>LN(261850000000000)</f>
        <v>33.198792936654044</v>
      </c>
      <c r="G19" s="8">
        <f>DPR!H15</f>
        <v>0.44874899999999995</v>
      </c>
      <c r="H19" s="8">
        <f>Investment!C39</f>
        <v>2.9600000000000001E-2</v>
      </c>
      <c r="J19">
        <f t="shared" si="1"/>
        <v>1.4660979461482548E-3</v>
      </c>
      <c r="K19">
        <f t="shared" si="2"/>
        <v>-2.8167496180255509</v>
      </c>
      <c r="L19">
        <f t="shared" si="3"/>
        <v>-1.3063747379440172</v>
      </c>
      <c r="M19">
        <f t="shared" si="4"/>
        <v>-3.6928874755114753</v>
      </c>
      <c r="N19">
        <f t="shared" si="5"/>
        <v>3.5025135179318019</v>
      </c>
      <c r="O19">
        <f t="shared" si="6"/>
        <v>-0.80129156759438769</v>
      </c>
      <c r="P19">
        <f t="shared" si="7"/>
        <v>-3.5199809176521222</v>
      </c>
      <c r="S19" s="22"/>
      <c r="T19" s="22" t="s">
        <v>4601</v>
      </c>
      <c r="U19" s="28">
        <v>6.1027843537561875E-2</v>
      </c>
      <c r="V19" s="16"/>
    </row>
    <row r="20" spans="1:22">
      <c r="A20" s="12"/>
      <c r="B20" s="5">
        <f>Volume!J18</f>
        <v>9.9825216246746075E-4</v>
      </c>
      <c r="C20" s="9">
        <f>ROA!E44</f>
        <v>6.7599999999999993E-2</v>
      </c>
      <c r="D20" s="9">
        <f>Leverage!D45</f>
        <v>0.25340000000000001</v>
      </c>
      <c r="E20" s="9">
        <f>'Sales Growth'!D34</f>
        <v>2.1100000000000001E-2</v>
      </c>
      <c r="F20" s="8">
        <f>LN(295830000000000)</f>
        <v>33.320806080940898</v>
      </c>
      <c r="G20" s="8">
        <f>DPR!I15</f>
        <v>0.39794099999999999</v>
      </c>
      <c r="H20" s="8">
        <f>Investment!D39</f>
        <v>3.7400000000000003E-2</v>
      </c>
      <c r="J20">
        <f t="shared" si="1"/>
        <v>9.9775424011796046E-4</v>
      </c>
      <c r="K20">
        <f t="shared" si="2"/>
        <v>-2.6941472959332189</v>
      </c>
      <c r="L20">
        <f t="shared" si="3"/>
        <v>-1.3727860110950982</v>
      </c>
      <c r="M20">
        <f t="shared" si="4"/>
        <v>-3.8584822385001161</v>
      </c>
      <c r="N20">
        <f t="shared" si="5"/>
        <v>3.5061820091110865</v>
      </c>
      <c r="O20">
        <f t="shared" si="6"/>
        <v>-0.92145152589254309</v>
      </c>
      <c r="P20">
        <f t="shared" si="7"/>
        <v>-3.2860845745616509</v>
      </c>
      <c r="S20" s="22"/>
      <c r="T20" s="22" t="s">
        <v>4602</v>
      </c>
      <c r="U20" s="28">
        <v>-5.6926897028049386E-2</v>
      </c>
      <c r="V20" s="16"/>
    </row>
    <row r="21" spans="1:22" ht="28.5">
      <c r="A21" s="12"/>
      <c r="B21" s="5">
        <f>Volume!K18</f>
        <v>1.1037222570138738E-3</v>
      </c>
      <c r="C21" s="9">
        <f>ROA!F44</f>
        <v>6.7699999999999996E-2</v>
      </c>
      <c r="D21" s="9">
        <f>Leverage!E45</f>
        <v>0.2492</v>
      </c>
      <c r="E21" s="9">
        <f>'Sales Growth'!E34</f>
        <v>4.7100000000000003E-2</v>
      </c>
      <c r="F21" s="8">
        <f>LN(344710000000000)</f>
        <v>33.473724599764537</v>
      </c>
      <c r="G21" s="8">
        <f>DPR!J15</f>
        <v>0.39997899999999997</v>
      </c>
      <c r="H21" s="8">
        <f>Investment!E39</f>
        <v>4.3799999999999999E-2</v>
      </c>
      <c r="J21">
        <f t="shared" si="1"/>
        <v>1.1031136034186928E-3</v>
      </c>
      <c r="K21">
        <f t="shared" si="2"/>
        <v>-2.6926690990639077</v>
      </c>
      <c r="L21">
        <f t="shared" si="3"/>
        <v>-1.389499492068839</v>
      </c>
      <c r="M21">
        <f t="shared" si="4"/>
        <v>-3.055482277959765</v>
      </c>
      <c r="N21">
        <f t="shared" si="5"/>
        <v>3.5107607907696932</v>
      </c>
      <c r="O21">
        <f t="shared" si="6"/>
        <v>-0.91634323325232836</v>
      </c>
      <c r="P21">
        <f t="shared" si="7"/>
        <v>-3.1281214615997368</v>
      </c>
      <c r="S21" s="22" t="s">
        <v>4603</v>
      </c>
      <c r="T21" s="22"/>
      <c r="U21" s="28">
        <v>6.1027843537561875E-2</v>
      </c>
      <c r="V21" s="16"/>
    </row>
    <row r="22" spans="1:22" ht="42.75" customHeight="1">
      <c r="A22" s="12"/>
      <c r="B22" s="5">
        <f>Volume!L18</f>
        <v>3.4874454267154391E-3</v>
      </c>
      <c r="C22" s="9">
        <f>ROA!G44</f>
        <v>6.2300000000000001E-2</v>
      </c>
      <c r="D22" s="9">
        <f>Leverage!F45</f>
        <v>0.26229999999999998</v>
      </c>
      <c r="E22" s="9">
        <f>'Sales Growth'!F34</f>
        <v>3.73E-2</v>
      </c>
      <c r="F22" s="8">
        <f>LN(351960000000000)</f>
        <v>33.494538648705905</v>
      </c>
      <c r="G22" s="8">
        <f>DPR!K15</f>
        <v>0.39910999999999996</v>
      </c>
      <c r="H22" s="8">
        <f>Investment!F39</f>
        <v>3.5799999999999998E-2</v>
      </c>
      <c r="J22">
        <f t="shared" si="1"/>
        <v>3.4813783904601523E-3</v>
      </c>
      <c r="K22">
        <f t="shared" si="2"/>
        <v>-2.7757938531887296</v>
      </c>
      <c r="L22">
        <f t="shared" si="3"/>
        <v>-1.3382663921093092</v>
      </c>
      <c r="M22">
        <f t="shared" si="4"/>
        <v>-3.2887619523323672</v>
      </c>
      <c r="N22">
        <f t="shared" si="5"/>
        <v>3.51138240012917</v>
      </c>
      <c r="O22">
        <f t="shared" si="6"/>
        <v>-0.9185182108645068</v>
      </c>
      <c r="P22">
        <f t="shared" si="7"/>
        <v>-3.3298073855754824</v>
      </c>
      <c r="S22" s="23" t="s">
        <v>4604</v>
      </c>
      <c r="T22" s="23"/>
      <c r="U22" s="29" t="s">
        <v>4609</v>
      </c>
      <c r="V22" s="16"/>
    </row>
    <row r="23" spans="1:22" ht="57">
      <c r="A23" s="12" t="s">
        <v>4530</v>
      </c>
      <c r="B23" s="5">
        <f>Volume!I19</f>
        <v>1.3517345409390147E-4</v>
      </c>
      <c r="C23" s="9">
        <f>ROA!D45</f>
        <v>2.8899999999999999E-2</v>
      </c>
      <c r="D23" s="9">
        <f>Leverage!C46</f>
        <v>6.88E-2</v>
      </c>
      <c r="E23" s="9">
        <f>'Sales Growth'!C35</f>
        <v>0.1222</v>
      </c>
      <c r="F23" s="8">
        <f>LN(14610000000000)</f>
        <v>30.312727341691158</v>
      </c>
      <c r="G23" s="8">
        <f>DPR!H16</f>
        <v>0.40867800000000004</v>
      </c>
      <c r="H23" s="8">
        <f>Investment!C40</f>
        <v>3.0700000000000002E-2</v>
      </c>
      <c r="J23">
        <f t="shared" si="1"/>
        <v>1.3516431898583404E-4</v>
      </c>
      <c r="K23">
        <f t="shared" si="2"/>
        <v>-3.5439136838637508</v>
      </c>
      <c r="L23">
        <f t="shared" si="3"/>
        <v>-2.6765515340428392</v>
      </c>
      <c r="M23">
        <f t="shared" si="4"/>
        <v>-2.1020962322446421</v>
      </c>
      <c r="N23">
        <f t="shared" si="5"/>
        <v>3.4115676686016569</v>
      </c>
      <c r="O23">
        <f t="shared" si="6"/>
        <v>-0.89482771907533232</v>
      </c>
      <c r="P23">
        <f t="shared" si="7"/>
        <v>-3.4834926243889854</v>
      </c>
      <c r="S23" s="30" t="s">
        <v>4605</v>
      </c>
      <c r="T23" s="30"/>
      <c r="U23" s="30"/>
      <c r="V23" s="16"/>
    </row>
    <row r="24" spans="1:22" ht="57">
      <c r="A24" s="12"/>
      <c r="B24" s="5">
        <f>Volume!J19</f>
        <v>5.9339382764168561E-3</v>
      </c>
      <c r="C24" s="9">
        <f>ROA!E45</f>
        <v>3.7499999999999999E-2</v>
      </c>
      <c r="D24" s="9">
        <f>Leverage!D46</f>
        <v>4.9200000000000001E-2</v>
      </c>
      <c r="E24" s="9">
        <f>'Sales Growth'!D35</f>
        <v>0.109</v>
      </c>
      <c r="F24" s="8">
        <f>LN(14760000000000)</f>
        <v>30.322941935100875</v>
      </c>
      <c r="G24" s="8">
        <f>DPR!I16</f>
        <v>0.36719000000000002</v>
      </c>
      <c r="H24" s="8">
        <f>Investment!D40</f>
        <v>2.6800000000000001E-2</v>
      </c>
      <c r="J24">
        <f t="shared" si="1"/>
        <v>5.9164018040489489E-3</v>
      </c>
      <c r="K24">
        <f t="shared" si="2"/>
        <v>-3.2834143460057721</v>
      </c>
      <c r="L24">
        <f t="shared" si="3"/>
        <v>-3.0118616554838744</v>
      </c>
      <c r="M24">
        <f t="shared" si="4"/>
        <v>-2.2164073967529934</v>
      </c>
      <c r="N24">
        <f t="shared" si="5"/>
        <v>3.4119045855889079</v>
      </c>
      <c r="O24">
        <f t="shared" si="6"/>
        <v>-1.001875853722098</v>
      </c>
      <c r="P24">
        <f t="shared" si="7"/>
        <v>-3.6193533914653262</v>
      </c>
      <c r="S24" s="30" t="s">
        <v>4606</v>
      </c>
      <c r="T24" s="30"/>
      <c r="U24" s="30"/>
      <c r="V24" s="16"/>
    </row>
    <row r="25" spans="1:22" ht="85.5">
      <c r="A25" s="12"/>
      <c r="B25" s="5">
        <f>Volume!K19</f>
        <v>3.1007939699667804E-4</v>
      </c>
      <c r="C25" s="9">
        <f>ROA!F45</f>
        <v>3.9899999999999998E-2</v>
      </c>
      <c r="D25" s="9">
        <f>Leverage!E46</f>
        <v>5.2499999999999998E-2</v>
      </c>
      <c r="E25" s="9">
        <f>'Sales Growth'!E35</f>
        <v>7.7100000000000002E-2</v>
      </c>
      <c r="F25" s="8">
        <f>LN(15890000000000)</f>
        <v>30.396711096477173</v>
      </c>
      <c r="G25" s="8">
        <f>DPR!J16</f>
        <v>0.42485699999999998</v>
      </c>
      <c r="H25" s="8">
        <f>Investment!E40</f>
        <v>3.3599999999999998E-2</v>
      </c>
      <c r="J25">
        <f t="shared" si="1"/>
        <v>3.1003133231622125E-4</v>
      </c>
      <c r="K25">
        <f t="shared" si="2"/>
        <v>-3.2213789550863194</v>
      </c>
      <c r="L25">
        <f t="shared" si="3"/>
        <v>-2.9469421093845591</v>
      </c>
      <c r="M25">
        <f t="shared" si="4"/>
        <v>-2.5626519984128531</v>
      </c>
      <c r="N25">
        <f t="shared" si="5"/>
        <v>3.4143344149435912</v>
      </c>
      <c r="O25">
        <f t="shared" si="6"/>
        <v>-0.85600263726488468</v>
      </c>
      <c r="P25">
        <f t="shared" si="7"/>
        <v>-3.3932292120129786</v>
      </c>
      <c r="S25" s="30" t="s">
        <v>4607</v>
      </c>
      <c r="T25" s="30"/>
      <c r="U25" s="30"/>
      <c r="V25" s="16"/>
    </row>
    <row r="26" spans="1:22">
      <c r="A26" s="12"/>
      <c r="B26" s="5">
        <f>Volume!L19</f>
        <v>8.4444506241316795E-3</v>
      </c>
      <c r="C26" s="9">
        <f>ROA!G45</f>
        <v>4.6399999999999997E-2</v>
      </c>
      <c r="D26" s="9">
        <f>Leverage!F46</f>
        <v>4.7300000000000002E-2</v>
      </c>
      <c r="E26" s="9">
        <f>'Sales Growth'!F35</f>
        <v>4.9200000000000001E-2</v>
      </c>
      <c r="F26" s="8">
        <f>LN(16020000000000)</f>
        <v>30.404859057568761</v>
      </c>
      <c r="G26" s="8">
        <f>DPR!K16</f>
        <v>0.36544099999999996</v>
      </c>
      <c r="H26" s="8">
        <f>Investment!F40</f>
        <v>2.8400000000000002E-2</v>
      </c>
      <c r="J26">
        <f t="shared" si="1"/>
        <v>8.4089957093160805E-3</v>
      </c>
      <c r="K26">
        <f t="shared" si="2"/>
        <v>-3.0704558197499274</v>
      </c>
      <c r="L26">
        <f t="shared" si="3"/>
        <v>-3.0512449834842497</v>
      </c>
      <c r="M26">
        <f t="shared" si="4"/>
        <v>-3.0118616554838744</v>
      </c>
      <c r="N26">
        <f t="shared" si="5"/>
        <v>3.4146024330595615</v>
      </c>
      <c r="O26">
        <f t="shared" si="6"/>
        <v>-1.00665043553097</v>
      </c>
      <c r="P26">
        <f t="shared" si="7"/>
        <v>-3.5613661338149765</v>
      </c>
    </row>
    <row r="27" spans="1:22">
      <c r="A27" s="12" t="s">
        <v>4533</v>
      </c>
      <c r="B27" s="5">
        <f>Volume!I22</f>
        <v>8.2259888759288028E-4</v>
      </c>
      <c r="C27" s="9">
        <f>ROA!D75</f>
        <v>1.09E-2</v>
      </c>
      <c r="D27" s="9">
        <f>Leverage!C76</f>
        <v>0.45760000000000001</v>
      </c>
      <c r="E27" s="9">
        <f>'Sales Growth'!C60</f>
        <v>8.0000000000000004E-4</v>
      </c>
      <c r="F27" s="8">
        <f>LN(2930000000000)</f>
        <v>28.706023538957524</v>
      </c>
      <c r="G27" s="8">
        <f>DPR!H19</f>
        <v>0.34653099999999998</v>
      </c>
      <c r="H27" s="8">
        <f>Investment!C66</f>
        <v>3.8399999999999997E-2</v>
      </c>
      <c r="J27">
        <f t="shared" si="1"/>
        <v>8.2226073855599143E-4</v>
      </c>
      <c r="K27">
        <f t="shared" si="2"/>
        <v>-4.5189924897470393</v>
      </c>
      <c r="L27">
        <f t="shared" si="3"/>
        <v>-0.78175983891654888</v>
      </c>
      <c r="M27">
        <f t="shared" si="4"/>
        <v>-7.1308988302963465</v>
      </c>
      <c r="N27">
        <f t="shared" si="5"/>
        <v>3.3571069801501596</v>
      </c>
      <c r="O27">
        <f t="shared" si="6"/>
        <v>-1.059782998264565</v>
      </c>
      <c r="P27">
        <f t="shared" si="7"/>
        <v>-3.2596978193884558</v>
      </c>
    </row>
    <row r="28" spans="1:22">
      <c r="A28" s="12"/>
      <c r="B28" s="5">
        <f>Volume!J22</f>
        <v>3.2693032712024727E-3</v>
      </c>
      <c r="C28" s="9">
        <f>ROA!E75</f>
        <v>1.4E-2</v>
      </c>
      <c r="D28" s="9">
        <f>Leverage!D76</f>
        <v>0.4113</v>
      </c>
      <c r="E28" s="9">
        <f>'Sales Growth'!D60</f>
        <v>2.0899999999999998E-2</v>
      </c>
      <c r="F28" s="8">
        <f>LN(2940000000000)</f>
        <v>28.709430697279139</v>
      </c>
      <c r="G28" s="8">
        <f>DPR!I19</f>
        <v>0.37861899999999998</v>
      </c>
      <c r="H28" s="8">
        <f>Investment!D66</f>
        <v>4.0899999999999999E-2</v>
      </c>
      <c r="J28">
        <f t="shared" si="1"/>
        <v>3.2639707185898705E-3</v>
      </c>
      <c r="K28">
        <f t="shared" si="2"/>
        <v>-4.2686979493668789</v>
      </c>
      <c r="L28">
        <f t="shared" si="3"/>
        <v>-0.8884324037457586</v>
      </c>
      <c r="M28">
        <f t="shared" si="4"/>
        <v>-3.8680061200113718</v>
      </c>
      <c r="N28">
        <f t="shared" si="5"/>
        <v>3.3572256645138361</v>
      </c>
      <c r="O28">
        <f t="shared" si="6"/>
        <v>-0.97122485657442792</v>
      </c>
      <c r="P28">
        <f t="shared" si="7"/>
        <v>-3.196625215933381</v>
      </c>
    </row>
    <row r="29" spans="1:22">
      <c r="A29" s="12"/>
      <c r="B29" s="5">
        <f>Volume!K22</f>
        <v>1.0651600980369346E-3</v>
      </c>
      <c r="C29" s="9">
        <f>ROA!F75</f>
        <v>1.52E-2</v>
      </c>
      <c r="D29" s="9">
        <f>Leverage!E76</f>
        <v>0.43140000000000001</v>
      </c>
      <c r="E29" s="9">
        <f>'Sales Growth'!E60</f>
        <v>7.9000000000000008E-3</v>
      </c>
      <c r="F29" s="8">
        <f>LN(3390000000000)</f>
        <v>28.851851037320905</v>
      </c>
      <c r="G29" s="8">
        <f>DPR!J19</f>
        <v>0.377778</v>
      </c>
      <c r="H29" s="8">
        <f>Investment!E66</f>
        <v>4.7300000000000002E-2</v>
      </c>
      <c r="J29">
        <f t="shared" si="1"/>
        <v>1.0645932175296499E-3</v>
      </c>
      <c r="K29">
        <f t="shared" si="2"/>
        <v>-4.1864598511299063</v>
      </c>
      <c r="L29">
        <f t="shared" si="3"/>
        <v>-0.84071954502708102</v>
      </c>
      <c r="M29">
        <f t="shared" si="4"/>
        <v>-4.8408925195091612</v>
      </c>
      <c r="N29">
        <f t="shared" si="5"/>
        <v>3.3621741516349224</v>
      </c>
      <c r="O29">
        <f t="shared" si="6"/>
        <v>-0.97344855747898251</v>
      </c>
      <c r="P29">
        <f t="shared" si="7"/>
        <v>-3.0512449834842497</v>
      </c>
    </row>
    <row r="30" spans="1:22">
      <c r="A30" s="12"/>
      <c r="B30" s="5">
        <f>Volume!L22</f>
        <v>2.478870109342391E-4</v>
      </c>
      <c r="C30" s="9">
        <f>ROA!G75</f>
        <v>1.9199999999999998E-2</v>
      </c>
      <c r="D30" s="9">
        <f>Leverage!F76</f>
        <v>0.41410000000000002</v>
      </c>
      <c r="E30" s="9">
        <f>'Sales Growth'!F60</f>
        <v>5.7099999999999998E-2</v>
      </c>
      <c r="F30" s="8">
        <f>LN(3000000000000)</f>
        <v>28.729633404596658</v>
      </c>
      <c r="G30" s="8">
        <f>DPR!K19</f>
        <v>0.33549699999999999</v>
      </c>
      <c r="H30" s="8">
        <f>Investment!F66</f>
        <v>2.1100000000000001E-2</v>
      </c>
      <c r="J30">
        <f t="shared" si="1"/>
        <v>2.4785629202549051E-4</v>
      </c>
      <c r="K30">
        <f t="shared" si="2"/>
        <v>-3.9528449999484012</v>
      </c>
      <c r="L30">
        <f t="shared" si="3"/>
        <v>-0.88164778843061542</v>
      </c>
      <c r="M30">
        <f t="shared" si="4"/>
        <v>-2.8629511623201727</v>
      </c>
      <c r="N30">
        <f t="shared" si="5"/>
        <v>3.357929112888788</v>
      </c>
      <c r="O30">
        <f t="shared" si="6"/>
        <v>-1.0921422644881738</v>
      </c>
      <c r="P30">
        <f t="shared" si="7"/>
        <v>-3.8584822385001161</v>
      </c>
    </row>
    <row r="31" spans="1:22">
      <c r="A31" s="12" t="s">
        <v>4534</v>
      </c>
      <c r="B31" s="5">
        <f>Volume!I23</f>
        <v>7.0790032826889473E-3</v>
      </c>
      <c r="C31" s="9">
        <f>ROA!D77</f>
        <v>0.11310000000000001</v>
      </c>
      <c r="D31" s="9">
        <f>Leverage!C78</f>
        <v>0.1275</v>
      </c>
      <c r="E31" s="9">
        <f>'Sales Growth'!C61</f>
        <v>6.0600000000000001E-2</v>
      </c>
      <c r="F31" s="8">
        <f>LN(18580000000000)</f>
        <v>30.55310684931424</v>
      </c>
      <c r="G31" s="8">
        <f>DPR!H20</f>
        <v>0.29999699999999996</v>
      </c>
      <c r="H31" s="8">
        <f>Investment!C68</f>
        <v>1.6500000000000001E-2</v>
      </c>
      <c r="J31">
        <f t="shared" si="1"/>
        <v>7.0540647630240984E-3</v>
      </c>
      <c r="K31">
        <f t="shared" si="2"/>
        <v>-2.1794828958600623</v>
      </c>
      <c r="L31">
        <f t="shared" si="3"/>
        <v>-2.059638914383656</v>
      </c>
      <c r="M31">
        <f t="shared" si="4"/>
        <v>-2.8034603859068681</v>
      </c>
      <c r="N31">
        <f t="shared" si="5"/>
        <v>3.4194663776420238</v>
      </c>
      <c r="O31">
        <f t="shared" si="6"/>
        <v>-1.2039828043759364</v>
      </c>
      <c r="P31">
        <f t="shared" si="7"/>
        <v>-4.1043948980756024</v>
      </c>
    </row>
    <row r="32" spans="1:22">
      <c r="A32" s="12"/>
      <c r="B32" s="5">
        <f>Volume!J23</f>
        <v>5.1399352933855042E-3</v>
      </c>
      <c r="C32" s="9">
        <f>ROA!E77</f>
        <v>0.22070000000000001</v>
      </c>
      <c r="D32" s="9">
        <f>Leverage!D78</f>
        <v>4.4299999999999999E-2</v>
      </c>
      <c r="E32" s="9">
        <f>'Sales Growth'!D61</f>
        <v>0.11849999999999999</v>
      </c>
      <c r="F32" s="8">
        <f>LN(21990000000000)</f>
        <v>30.721608920495218</v>
      </c>
      <c r="G32" s="8">
        <f>DPR!I20</f>
        <v>0.40000200000000002</v>
      </c>
      <c r="H32" s="8">
        <f>Investment!D68</f>
        <v>3.1800000000000002E-2</v>
      </c>
      <c r="J32">
        <f t="shared" si="1"/>
        <v>5.1267709160715538E-3</v>
      </c>
      <c r="K32">
        <f t="shared" si="2"/>
        <v>-1.5109509657194462</v>
      </c>
      <c r="L32">
        <f t="shared" si="3"/>
        <v>-3.116770601931047</v>
      </c>
      <c r="M32">
        <f t="shared" si="4"/>
        <v>-2.1328423184069512</v>
      </c>
      <c r="N32">
        <f t="shared" si="5"/>
        <v>3.4249662806220535</v>
      </c>
      <c r="O32">
        <f t="shared" si="6"/>
        <v>-0.91628573188665496</v>
      </c>
      <c r="P32">
        <f t="shared" si="7"/>
        <v>-3.4482889891960058</v>
      </c>
    </row>
    <row r="33" spans="1:16">
      <c r="A33" s="12"/>
      <c r="B33" s="5">
        <f>Volume!K23</f>
        <v>5.3591342834806762E-3</v>
      </c>
      <c r="C33" s="9">
        <f>ROA!F77</f>
        <v>0.2177</v>
      </c>
      <c r="D33" s="9">
        <f>Leverage!E78</f>
        <v>3.44E-2</v>
      </c>
      <c r="E33" s="9">
        <f>'Sales Growth'!E61</f>
        <v>0.14249999999999999</v>
      </c>
      <c r="F33" s="8">
        <f>LN(24170000000000)</f>
        <v>30.816133310643941</v>
      </c>
      <c r="G33" s="8">
        <f>DPR!J20</f>
        <v>0.34379599999999999</v>
      </c>
      <c r="H33" s="8">
        <f>Investment!E68</f>
        <v>3.6400000000000002E-2</v>
      </c>
      <c r="J33">
        <f t="shared" si="1"/>
        <v>5.3448252233634502E-3</v>
      </c>
      <c r="K33">
        <f t="shared" si="2"/>
        <v>-1.5246373107416353</v>
      </c>
      <c r="L33">
        <f t="shared" si="3"/>
        <v>-3.3696987146027846</v>
      </c>
      <c r="M33">
        <f t="shared" si="4"/>
        <v>-1.9484132792734319</v>
      </c>
      <c r="N33">
        <f t="shared" si="5"/>
        <v>3.4280383616267351</v>
      </c>
      <c r="O33">
        <f t="shared" si="6"/>
        <v>-1.0677068207723921</v>
      </c>
      <c r="P33">
        <f t="shared" si="7"/>
        <v>-3.3131865043394422</v>
      </c>
    </row>
    <row r="34" spans="1:16">
      <c r="A34" s="12"/>
      <c r="B34" s="5">
        <f>Volume!L23</f>
        <v>1.6468026691765475E-2</v>
      </c>
      <c r="C34" s="9">
        <f>ROA!G77</f>
        <v>0.16139999999999999</v>
      </c>
      <c r="D34" s="9">
        <f>Leverage!F78</f>
        <v>2.4199999999999999E-2</v>
      </c>
      <c r="E34" s="9">
        <f>'Sales Growth'!F61</f>
        <v>0.115</v>
      </c>
      <c r="F34" s="8">
        <f>LN(26100000000000)</f>
        <v>30.892956430257197</v>
      </c>
      <c r="G34" s="8">
        <f>DPR!K20</f>
        <v>0.5</v>
      </c>
      <c r="H34" s="8">
        <f>Investment!F68</f>
        <v>4.9599999999999998E-2</v>
      </c>
      <c r="J34">
        <f t="shared" si="1"/>
        <v>1.6333899279481822E-2</v>
      </c>
      <c r="K34">
        <f t="shared" si="2"/>
        <v>-1.8238695231462887</v>
      </c>
      <c r="L34">
        <f t="shared" si="3"/>
        <v>-3.7214026458194964</v>
      </c>
      <c r="M34">
        <f t="shared" si="4"/>
        <v>-2.1628231506188871</v>
      </c>
      <c r="N34">
        <f t="shared" si="5"/>
        <v>3.4305282106789114</v>
      </c>
      <c r="O34">
        <f t="shared" si="6"/>
        <v>-0.69314718055994529</v>
      </c>
      <c r="P34">
        <f t="shared" si="7"/>
        <v>-3.0037644452512553</v>
      </c>
    </row>
    <row r="35" spans="1:16">
      <c r="A35" s="12" t="s">
        <v>4535</v>
      </c>
      <c r="B35" s="5">
        <f>Volume!I24</f>
        <v>1.5535782915299529E-2</v>
      </c>
      <c r="C35" s="9">
        <f>ROA!D96</f>
        <v>0.15029999999999999</v>
      </c>
      <c r="D35" s="9">
        <f>Leverage!C98</f>
        <v>0.1996</v>
      </c>
      <c r="E35" s="9">
        <f>'Sales Growth'!C74</f>
        <v>1.5900000000000001E-2</v>
      </c>
      <c r="F35" s="8">
        <f>LN(2130000000*14000)</f>
        <v>31.026200425265142</v>
      </c>
      <c r="G35" s="8">
        <f>DPR!H21</f>
        <v>0.49882200000000004</v>
      </c>
      <c r="H35" s="8">
        <f>Investment!C85</f>
        <v>3.4299999999999997E-2</v>
      </c>
      <c r="J35">
        <f t="shared" si="1"/>
        <v>1.5416338163243358E-2</v>
      </c>
      <c r="K35">
        <f t="shared" si="2"/>
        <v>-1.8951219822232084</v>
      </c>
      <c r="L35">
        <f t="shared" si="3"/>
        <v>-1.6114399151047734</v>
      </c>
      <c r="M35">
        <f t="shared" si="4"/>
        <v>-4.1414361697559512</v>
      </c>
      <c r="N35">
        <f t="shared" si="5"/>
        <v>3.4348320225344162</v>
      </c>
      <c r="O35">
        <f t="shared" si="6"/>
        <v>-0.69550596029484046</v>
      </c>
      <c r="P35">
        <f t="shared" si="7"/>
        <v>-3.3726099248102428</v>
      </c>
    </row>
    <row r="36" spans="1:16">
      <c r="A36" s="12"/>
      <c r="B36" s="5">
        <f>Volume!J24</f>
        <v>3.6119607338091341E-3</v>
      </c>
      <c r="C36" s="9">
        <f>ROA!E96</f>
        <v>0.1245</v>
      </c>
      <c r="D36" s="9">
        <f>Leverage!D98</f>
        <v>0.2112</v>
      </c>
      <c r="E36" s="9">
        <f>'Sales Growth'!D74</f>
        <v>5.8500000000000003E-2</v>
      </c>
      <c r="F36" s="8">
        <f>LN(2990000000*14000)</f>
        <v>31.365351832946402</v>
      </c>
      <c r="G36" s="8">
        <f>DPR!I21</f>
        <v>0.497618</v>
      </c>
      <c r="H36" s="8">
        <f>Investment!D85</f>
        <v>8.8300000000000003E-2</v>
      </c>
      <c r="J36">
        <f t="shared" si="1"/>
        <v>3.6054532687359673E-3</v>
      </c>
      <c r="K36">
        <f t="shared" si="2"/>
        <v>-2.0834495630773748</v>
      </c>
      <c r="L36">
        <f t="shared" si="3"/>
        <v>-1.5549497271500305</v>
      </c>
      <c r="M36">
        <f t="shared" si="4"/>
        <v>-2.8387285247443264</v>
      </c>
      <c r="N36">
        <f t="shared" si="5"/>
        <v>3.4457038388601395</v>
      </c>
      <c r="O36">
        <f t="shared" si="6"/>
        <v>-0.69792256457797697</v>
      </c>
      <c r="P36">
        <f t="shared" si="7"/>
        <v>-2.4270151713722226</v>
      </c>
    </row>
    <row r="37" spans="1:16">
      <c r="A37" s="12"/>
      <c r="B37" s="5">
        <f>Volume!K24</f>
        <v>1.6246570368940684E-3</v>
      </c>
      <c r="C37" s="9">
        <f>ROA!F96</f>
        <v>5.8999999999999997E-2</v>
      </c>
      <c r="D37" s="9">
        <f>Leverage!E98</f>
        <v>0.19159999999999999</v>
      </c>
      <c r="E37" s="9">
        <f>'Sales Growth'!E74</f>
        <v>4.9399999999999999E-2</v>
      </c>
      <c r="F37" s="8">
        <f>LN(3170000000*14000)</f>
        <v>31.423810033432996</v>
      </c>
      <c r="G37" s="8">
        <f>DPR!J21</f>
        <v>0.49697799999999998</v>
      </c>
      <c r="H37" s="8">
        <f>Investment!E85</f>
        <v>0.1149</v>
      </c>
      <c r="J37">
        <f t="shared" si="1"/>
        <v>1.6233387093439106E-3</v>
      </c>
      <c r="K37">
        <f t="shared" si="2"/>
        <v>-2.8302178350764176</v>
      </c>
      <c r="L37">
        <f t="shared" si="3"/>
        <v>-1.652345413445377</v>
      </c>
      <c r="M37">
        <f t="shared" si="4"/>
        <v>-3.0078048547882603</v>
      </c>
      <c r="N37">
        <f t="shared" si="5"/>
        <v>3.4475658868837025</v>
      </c>
      <c r="O37">
        <f t="shared" si="6"/>
        <v>-0.69920951945882004</v>
      </c>
      <c r="P37">
        <f t="shared" si="7"/>
        <v>-2.1636930941274271</v>
      </c>
    </row>
    <row r="38" spans="1:16">
      <c r="A38" s="12"/>
      <c r="B38" s="5">
        <f>Volume!L24</f>
        <v>3.3798668713956957E-3</v>
      </c>
      <c r="C38" s="9">
        <f>ROA!G96</f>
        <v>6.8999999999999999E-3</v>
      </c>
      <c r="D38" s="9">
        <f>Leverage!F98</f>
        <v>0.2283</v>
      </c>
      <c r="E38" s="9">
        <f>'Sales Growth'!F74</f>
        <v>1.1000000000000001E-3</v>
      </c>
      <c r="F38" s="8">
        <f>LN(3450000000*14000)</f>
        <v>31.508452676587076</v>
      </c>
      <c r="G38" s="8">
        <f>DPR!K21</f>
        <v>0.49760200000000004</v>
      </c>
      <c r="H38" s="8">
        <f>Investment!F85</f>
        <v>0.1163</v>
      </c>
      <c r="J38">
        <f t="shared" si="1"/>
        <v>3.3741679587953066E-3</v>
      </c>
      <c r="K38">
        <f t="shared" si="2"/>
        <v>-4.976233867378923</v>
      </c>
      <c r="L38">
        <f t="shared" si="3"/>
        <v>-1.4770947254463871</v>
      </c>
      <c r="M38">
        <f t="shared" si="4"/>
        <v>-6.812445099177812</v>
      </c>
      <c r="N38">
        <f t="shared" si="5"/>
        <v>3.4502558487744057</v>
      </c>
      <c r="O38">
        <f t="shared" si="6"/>
        <v>-0.69795471827264011</v>
      </c>
      <c r="P38">
        <f t="shared" si="7"/>
        <v>-2.1515822194575183</v>
      </c>
    </row>
    <row r="39" spans="1:16">
      <c r="A39" s="12" t="s">
        <v>4536</v>
      </c>
      <c r="B39" s="5">
        <f>Volume!I25</f>
        <v>6.692619768407927E-4</v>
      </c>
      <c r="C39" s="9">
        <f>ROA!D97</f>
        <v>9.0399999999999994E-2</v>
      </c>
      <c r="D39" s="9">
        <f>Leverage!C99</f>
        <v>0.33169999999999999</v>
      </c>
      <c r="E39" s="9">
        <f>'Sales Growth'!C75</f>
        <v>0.16639999999999999</v>
      </c>
      <c r="F39">
        <f>LN(24200000000000)</f>
        <v>30.817373749091189</v>
      </c>
      <c r="G39">
        <f>DPR!H22</f>
        <v>0.247559</v>
      </c>
      <c r="H39" s="8">
        <f>Investment!C87</f>
        <v>8.0299999999999996E-2</v>
      </c>
      <c r="J39">
        <f t="shared" si="1"/>
        <v>6.6903812091714387E-4</v>
      </c>
      <c r="K39">
        <f t="shared" si="2"/>
        <v>-2.4035110115840062</v>
      </c>
      <c r="L39">
        <f t="shared" si="3"/>
        <v>-1.1035243330291302</v>
      </c>
      <c r="M39">
        <f t="shared" si="4"/>
        <v>-1.7933607505950289</v>
      </c>
      <c r="N39">
        <f t="shared" si="5"/>
        <v>3.4280786137073513</v>
      </c>
      <c r="O39">
        <f t="shared" si="6"/>
        <v>-1.3961063415439208</v>
      </c>
      <c r="P39">
        <f t="shared" si="7"/>
        <v>-2.5219856580294211</v>
      </c>
    </row>
    <row r="40" spans="1:16">
      <c r="A40" s="12"/>
      <c r="B40" s="5">
        <f>Volume!J25</f>
        <v>8.1874877084826489E-4</v>
      </c>
      <c r="C40" s="9">
        <f>ROA!E97</f>
        <v>0.1026</v>
      </c>
      <c r="D40" s="9">
        <f>Leverage!D99</f>
        <v>0.27310000000000001</v>
      </c>
      <c r="E40" s="9">
        <f>'Sales Growth'!D75</f>
        <v>0.18709999999999999</v>
      </c>
      <c r="F40">
        <f>LN(24530000000000)</f>
        <v>30.830917974198947</v>
      </c>
      <c r="G40" s="8">
        <f>DPR!I22</f>
        <v>0.24932199999999999</v>
      </c>
      <c r="H40" s="8">
        <f>Investment!D87</f>
        <v>0.06</v>
      </c>
      <c r="J40">
        <f t="shared" si="1"/>
        <v>8.1841377891033753E-4</v>
      </c>
      <c r="K40">
        <f t="shared" si="2"/>
        <v>-2.2769173462454679</v>
      </c>
      <c r="L40">
        <f t="shared" si="3"/>
        <v>-1.2979172505024776</v>
      </c>
      <c r="M40">
        <f t="shared" si="4"/>
        <v>-1.6761120457020933</v>
      </c>
      <c r="N40">
        <f t="shared" si="5"/>
        <v>3.4285180168099214</v>
      </c>
      <c r="O40">
        <f t="shared" si="6"/>
        <v>-1.3890100452543133</v>
      </c>
      <c r="P40">
        <f t="shared" si="7"/>
        <v>-2.8134107167600364</v>
      </c>
    </row>
    <row r="41" spans="1:16">
      <c r="A41" s="12"/>
      <c r="B41" s="5">
        <f>Volume!K25</f>
        <v>1.5236681480945097E-3</v>
      </c>
      <c r="C41" s="9">
        <f>ROA!F97</f>
        <v>0.17460000000000001</v>
      </c>
      <c r="D41" s="9">
        <f>Leverage!E99</f>
        <v>0.2399</v>
      </c>
      <c r="E41" s="9">
        <f>'Sales Growth'!E75</f>
        <v>0.16489999999999999</v>
      </c>
      <c r="F41">
        <f>LN(27650000000000)</f>
        <v>30.950646843896891</v>
      </c>
      <c r="G41" s="8">
        <f>DPR!J22</f>
        <v>0.39855100000000004</v>
      </c>
      <c r="H41" s="8">
        <f>Investment!E87</f>
        <v>3.4799999999999998E-2</v>
      </c>
      <c r="J41">
        <f t="shared" si="1"/>
        <v>1.5225085435340605E-3</v>
      </c>
      <c r="K41">
        <f t="shared" si="2"/>
        <v>-1.7452576355766352</v>
      </c>
      <c r="L41">
        <f t="shared" si="3"/>
        <v>-1.4275331091364882</v>
      </c>
      <c r="M41">
        <f t="shared" si="4"/>
        <v>-1.802416049416584</v>
      </c>
      <c r="N41">
        <f t="shared" si="5"/>
        <v>3.4323938985534674</v>
      </c>
      <c r="O41">
        <f t="shared" si="6"/>
        <v>-0.91991980901588144</v>
      </c>
      <c r="P41">
        <f t="shared" si="7"/>
        <v>-3.3581378922017087</v>
      </c>
    </row>
    <row r="42" spans="1:16">
      <c r="A42" s="12"/>
      <c r="B42" s="5">
        <f>Volume!L25</f>
        <v>1.0669791352092967E-3</v>
      </c>
      <c r="C42" s="9">
        <f>ROA!G97</f>
        <v>0.1275</v>
      </c>
      <c r="D42" s="9">
        <f>Leverage!F99</f>
        <v>0.161</v>
      </c>
      <c r="E42" s="9">
        <f>'Sales Growth'!F75</f>
        <v>0.155</v>
      </c>
      <c r="F42">
        <f>LN(29350000000000)</f>
        <v>31.010313662202655</v>
      </c>
      <c r="G42" s="8">
        <f>DPR!K22</f>
        <v>0.49940800000000002</v>
      </c>
      <c r="H42" s="8">
        <f>Investment!F87</f>
        <v>1.46E-2</v>
      </c>
      <c r="J42">
        <f t="shared" si="1"/>
        <v>1.0664103175469773E-3</v>
      </c>
      <c r="K42">
        <f t="shared" si="2"/>
        <v>-2.059638914383656</v>
      </c>
      <c r="L42">
        <f t="shared" si="3"/>
        <v>-1.8263509139976741</v>
      </c>
      <c r="M42">
        <f t="shared" si="4"/>
        <v>-1.8643301620628905</v>
      </c>
      <c r="N42">
        <f t="shared" si="5"/>
        <v>3.4343198479339101</v>
      </c>
      <c r="O42">
        <f t="shared" si="6"/>
        <v>-0.69433188204170282</v>
      </c>
      <c r="P42">
        <f t="shared" si="7"/>
        <v>-4.2267337502678464</v>
      </c>
    </row>
    <row r="43" spans="1:16">
      <c r="A43" s="12" t="s">
        <v>4537</v>
      </c>
      <c r="B43" s="5">
        <f>Volume!I26</f>
        <v>7.4490572917540639E-4</v>
      </c>
      <c r="C43" s="9">
        <f>ROA!D111</f>
        <v>0.1046</v>
      </c>
      <c r="D43" s="9">
        <f>Leverage!C116</f>
        <v>0.1</v>
      </c>
      <c r="E43" s="9">
        <f>'Sales Growth'!C86</f>
        <v>0.1037</v>
      </c>
      <c r="F43" s="8">
        <f>LN(1530000000000)</f>
        <v>28.056288851332891</v>
      </c>
      <c r="G43" s="8">
        <f>DPR!H23</f>
        <v>0.48091899999999999</v>
      </c>
      <c r="H43" s="8">
        <f>Investment!C97</f>
        <v>0.1348</v>
      </c>
      <c r="J43">
        <f t="shared" si="1"/>
        <v>7.4462842460480032E-4</v>
      </c>
      <c r="K43">
        <f t="shared" si="2"/>
        <v>-2.2576117273513145</v>
      </c>
      <c r="L43">
        <f t="shared" si="3"/>
        <v>-2.3025850929940455</v>
      </c>
      <c r="M43">
        <f t="shared" si="4"/>
        <v>-2.2662531637466552</v>
      </c>
      <c r="N43">
        <f t="shared" si="5"/>
        <v>3.3342128083128544</v>
      </c>
      <c r="O43">
        <f t="shared" si="6"/>
        <v>-0.73205642222550704</v>
      </c>
      <c r="P43">
        <f t="shared" si="7"/>
        <v>-2.0039630805039303</v>
      </c>
    </row>
    <row r="44" spans="1:16">
      <c r="A44" s="12"/>
      <c r="B44" s="5">
        <f>Volume!J26</f>
        <v>3.4013960236319927E-3</v>
      </c>
      <c r="C44" s="9">
        <f>ROA!E111</f>
        <v>0.1023</v>
      </c>
      <c r="D44" s="9">
        <f>Leverage!D116</f>
        <v>0.123</v>
      </c>
      <c r="E44" s="9">
        <f>'Sales Growth'!D86</f>
        <v>7.9000000000000001E-2</v>
      </c>
      <c r="F44" s="8">
        <f>LN(1640000000000)</f>
        <v>28.125717357764657</v>
      </c>
      <c r="G44" s="8">
        <f>DPR!I23</f>
        <v>0.48653900000000005</v>
      </c>
      <c r="H44" s="8">
        <f>Investment!D97</f>
        <v>2.4199999999999999E-2</v>
      </c>
      <c r="J44">
        <f t="shared" si="1"/>
        <v>3.3956243602827978E-3</v>
      </c>
      <c r="K44">
        <f t="shared" si="2"/>
        <v>-2.2798456060245562</v>
      </c>
      <c r="L44">
        <f t="shared" si="3"/>
        <v>-2.0955709236097197</v>
      </c>
      <c r="M44">
        <f t="shared" si="4"/>
        <v>-2.5383074265151158</v>
      </c>
      <c r="N44">
        <f t="shared" si="5"/>
        <v>3.3366843662531647</v>
      </c>
      <c r="O44">
        <f t="shared" si="6"/>
        <v>-0.72043821612919756</v>
      </c>
      <c r="P44">
        <f t="shared" si="7"/>
        <v>-3.7214026458194964</v>
      </c>
    </row>
    <row r="45" spans="1:16">
      <c r="A45" s="12"/>
      <c r="B45" s="5">
        <f>Volume!K26</f>
        <v>1.391170973665485E-3</v>
      </c>
      <c r="C45" s="9">
        <f>ROA!F111</f>
        <v>0.1207</v>
      </c>
      <c r="D45" s="9">
        <f>Leverage!E116</f>
        <v>0.14799999999999999</v>
      </c>
      <c r="E45" s="9">
        <f>'Sales Growth'!E86</f>
        <v>9.2100000000000001E-2</v>
      </c>
      <c r="F45" s="8">
        <f>LN(1680000000000)</f>
        <v>28.149814909343714</v>
      </c>
      <c r="G45" s="8">
        <f>DPR!J23</f>
        <v>0.75815900000000003</v>
      </c>
      <c r="H45" s="8">
        <f>Investment!E97</f>
        <v>2.7400000000000001E-2</v>
      </c>
      <c r="J45">
        <f t="shared" si="1"/>
        <v>1.3902041918619225E-3</v>
      </c>
      <c r="K45">
        <f t="shared" si="2"/>
        <v>-2.1144471508786511</v>
      </c>
      <c r="L45">
        <f t="shared" si="3"/>
        <v>-1.9105430052180221</v>
      </c>
      <c r="M45">
        <f t="shared" si="4"/>
        <v>-2.3848803357208759</v>
      </c>
      <c r="N45">
        <f t="shared" si="5"/>
        <v>3.3375407794075542</v>
      </c>
      <c r="O45">
        <f t="shared" si="6"/>
        <v>-0.27686215280386789</v>
      </c>
      <c r="P45">
        <f t="shared" si="7"/>
        <v>-3.5972122655881127</v>
      </c>
    </row>
    <row r="46" spans="1:16">
      <c r="A46" s="12"/>
      <c r="B46" s="5">
        <f>Volume!L26</f>
        <v>1.3608191831479422E-3</v>
      </c>
      <c r="C46" s="9">
        <f>ROA!G111</f>
        <v>0.1263</v>
      </c>
      <c r="D46" s="9">
        <f>Leverage!F116</f>
        <v>0.16919999999999999</v>
      </c>
      <c r="E46" s="9">
        <f>'Sales Growth'!F86</f>
        <v>0.1051</v>
      </c>
      <c r="F46" s="8">
        <f>LN(1830000000000)</f>
        <v>28.235337082781879</v>
      </c>
      <c r="G46" s="8">
        <f>DPR!K23</f>
        <v>0.47059799999999996</v>
      </c>
      <c r="H46" s="8">
        <f>Investment!F97</f>
        <v>3.3599999999999998E-2</v>
      </c>
      <c r="J46">
        <f t="shared" si="1"/>
        <v>1.3598941078684201E-3</v>
      </c>
      <c r="K46">
        <f t="shared" si="2"/>
        <v>-2.0690952496256916</v>
      </c>
      <c r="L46">
        <f t="shared" si="3"/>
        <v>-1.7766738318100141</v>
      </c>
      <c r="M46">
        <f t="shared" si="4"/>
        <v>-2.2528430010992317</v>
      </c>
      <c r="N46">
        <f t="shared" si="5"/>
        <v>3.340574281526421</v>
      </c>
      <c r="O46">
        <f t="shared" si="6"/>
        <v>-0.75375105259165853</v>
      </c>
      <c r="P46">
        <f t="shared" si="7"/>
        <v>-3.3932292120129786</v>
      </c>
    </row>
    <row r="47" spans="1:16">
      <c r="A47" s="12" t="s">
        <v>4539</v>
      </c>
      <c r="B47" s="5">
        <f>Volume!I28</f>
        <v>2.0436530208893917E-3</v>
      </c>
      <c r="C47" s="9">
        <f>ROA!D117</f>
        <v>3.1300000000000001E-2</v>
      </c>
      <c r="D47" s="9">
        <f>Leverage!C122</f>
        <v>0.5373</v>
      </c>
      <c r="E47" s="9">
        <f>'Sales Growth'!C91</f>
        <v>8.1799999999999998E-2</v>
      </c>
      <c r="F47" s="8">
        <f>LN(8180000000000)</f>
        <v>29.732713266543204</v>
      </c>
      <c r="G47" s="8">
        <f>DPR!H25</f>
        <v>0.72466600000000003</v>
      </c>
      <c r="H47" s="8">
        <f>Investment!C102</f>
        <v>9.0499999999999997E-2</v>
      </c>
      <c r="J47">
        <f t="shared" si="1"/>
        <v>2.0415676028184282E-3</v>
      </c>
      <c r="K47">
        <f t="shared" si="2"/>
        <v>-3.4641371814360293</v>
      </c>
      <c r="L47">
        <f t="shared" si="3"/>
        <v>-0.62119868124736122</v>
      </c>
      <c r="M47">
        <f t="shared" si="4"/>
        <v>-2.5034780353734356</v>
      </c>
      <c r="N47">
        <f t="shared" si="5"/>
        <v>3.3922478964361589</v>
      </c>
      <c r="O47">
        <f t="shared" si="6"/>
        <v>-0.3220444199327166</v>
      </c>
      <c r="P47">
        <f t="shared" si="7"/>
        <v>-2.4024054282762566</v>
      </c>
    </row>
    <row r="48" spans="1:16">
      <c r="A48" s="12"/>
      <c r="B48" s="5">
        <f>Volume!J28</f>
        <v>1.2410008923951525E-3</v>
      </c>
      <c r="C48" s="9">
        <f>ROA!E117</f>
        <v>6.9199999999999998E-2</v>
      </c>
      <c r="D48" s="9">
        <f>Leverage!D122</f>
        <v>0.48039999999999999</v>
      </c>
      <c r="E48" s="9">
        <f>'Sales Growth'!D91</f>
        <v>0.1023</v>
      </c>
      <c r="F48" s="8">
        <f>LN(8450000000000)</f>
        <v>29.765187557297629</v>
      </c>
      <c r="G48" s="8">
        <f>DPR!I25</f>
        <v>0.63656400000000002</v>
      </c>
      <c r="H48" s="8">
        <f>Investment!D102</f>
        <v>4.9299999999999997E-2</v>
      </c>
      <c r="J48">
        <f t="shared" si="1"/>
        <v>1.2402314872768036E-3</v>
      </c>
      <c r="K48">
        <f t="shared" si="2"/>
        <v>-2.6707544163585131</v>
      </c>
      <c r="L48">
        <f t="shared" si="3"/>
        <v>-0.73313618877630859</v>
      </c>
      <c r="M48">
        <f t="shared" si="4"/>
        <v>-2.2798456060245562</v>
      </c>
      <c r="N48">
        <f t="shared" si="5"/>
        <v>3.393339507855369</v>
      </c>
      <c r="O48">
        <f t="shared" si="6"/>
        <v>-0.45167031615730829</v>
      </c>
      <c r="P48">
        <f t="shared" si="7"/>
        <v>-3.0098311979334929</v>
      </c>
    </row>
    <row r="49" spans="1:16">
      <c r="A49" s="12"/>
      <c r="B49" s="5">
        <f>Volume!K28</f>
        <v>4.1169242015018186E-4</v>
      </c>
      <c r="C49" s="9">
        <f>ROA!F117</f>
        <v>4.1700000000000001E-2</v>
      </c>
      <c r="D49" s="9">
        <f>Leverage!E122</f>
        <v>0.55489999999999995</v>
      </c>
      <c r="E49" s="9">
        <f>'Sales Growth'!E91</f>
        <v>6.1600000000000002E-2</v>
      </c>
      <c r="F49" s="8">
        <f>LN(11740000000000)</f>
        <v>30.094022930328499</v>
      </c>
      <c r="G49" s="8">
        <f>DPR!J25</f>
        <v>0.62098900000000001</v>
      </c>
      <c r="H49" s="8">
        <f>Investment!E102</f>
        <v>6.4899999999999999E-2</v>
      </c>
      <c r="J49">
        <f t="shared" si="1"/>
        <v>4.1160769807802142E-4</v>
      </c>
      <c r="K49">
        <f t="shared" si="2"/>
        <v>-3.1772541501773812</v>
      </c>
      <c r="L49">
        <f t="shared" si="3"/>
        <v>-0.58896736165028163</v>
      </c>
      <c r="M49">
        <f t="shared" si="4"/>
        <v>-2.7870934084426628</v>
      </c>
      <c r="N49">
        <f t="shared" si="5"/>
        <v>3.4043265782932148</v>
      </c>
      <c r="O49">
        <f t="shared" si="6"/>
        <v>-0.47644191057108121</v>
      </c>
      <c r="P49">
        <f t="shared" si="7"/>
        <v>-2.7349076552720928</v>
      </c>
    </row>
    <row r="50" spans="1:16">
      <c r="A50" s="12"/>
      <c r="B50" s="5">
        <f>Volume!L28</f>
        <v>2.3162644866121476E-4</v>
      </c>
      <c r="C50" s="9">
        <f>ROA!G117</f>
        <v>1.54E-2</v>
      </c>
      <c r="D50" s="9">
        <f>Leverage!F122</f>
        <v>0.55200000000000005</v>
      </c>
      <c r="E50" s="9">
        <f>'Sales Growth'!F91</f>
        <v>4.7600000000000003E-2</v>
      </c>
      <c r="F50" s="8">
        <f>LN(11620000000000)</f>
        <v>30.083748867352313</v>
      </c>
      <c r="G50" s="8">
        <f>DPR!K25</f>
        <v>0.60350599999999999</v>
      </c>
      <c r="H50" s="8">
        <f>Investment!F102</f>
        <v>5.2400000000000002E-2</v>
      </c>
      <c r="J50">
        <f t="shared" si="1"/>
        <v>2.3159962739699607E-4</v>
      </c>
      <c r="K50">
        <f t="shared" si="2"/>
        <v>-4.1733877695625532</v>
      </c>
      <c r="L50">
        <f t="shared" si="3"/>
        <v>-0.59420723270504161</v>
      </c>
      <c r="M50">
        <f t="shared" si="4"/>
        <v>-3.0449225177447627</v>
      </c>
      <c r="N50">
        <f t="shared" si="5"/>
        <v>3.4039851212146592</v>
      </c>
      <c r="O50">
        <f t="shared" si="6"/>
        <v>-0.50499929648900133</v>
      </c>
      <c r="P50">
        <f t="shared" si="7"/>
        <v>-2.9488486876551407</v>
      </c>
    </row>
    <row r="51" spans="1:16">
      <c r="A51" s="12" t="s">
        <v>4540</v>
      </c>
      <c r="B51" s="5">
        <f>Volume!I29</f>
        <v>2.8750000000000001E-5</v>
      </c>
      <c r="C51" s="9">
        <f>ROA!D156</f>
        <v>5.4399999999999997E-2</v>
      </c>
      <c r="D51" s="9">
        <f>Leverage!C164</f>
        <v>0.1893</v>
      </c>
      <c r="E51" s="9">
        <f>'Sales Growth'!C120</f>
        <v>0.13320000000000001</v>
      </c>
      <c r="F51" s="14">
        <f>LN(681250000000)</f>
        <v>27.247195182923864</v>
      </c>
      <c r="G51" s="8">
        <f>DPR!H26</f>
        <v>0.35996100000000003</v>
      </c>
      <c r="H51" s="8">
        <f>Investment!C134</f>
        <v>1.9900000000000001E-2</v>
      </c>
      <c r="J51">
        <f t="shared" si="1"/>
        <v>2.8749586726692867E-5</v>
      </c>
      <c r="K51">
        <f t="shared" si="2"/>
        <v>-2.91139112512024</v>
      </c>
      <c r="L51">
        <f t="shared" si="3"/>
        <v>-1.66442222076686</v>
      </c>
      <c r="M51">
        <f t="shared" si="4"/>
        <v>-2.015903520875848</v>
      </c>
      <c r="N51">
        <f t="shared" si="5"/>
        <v>3.3049505867446789</v>
      </c>
      <c r="O51">
        <f t="shared" si="6"/>
        <v>-1.0217595867337941</v>
      </c>
      <c r="P51">
        <f t="shared" si="7"/>
        <v>-3.9170355472516905</v>
      </c>
    </row>
    <row r="52" spans="1:16">
      <c r="A52" s="12"/>
      <c r="B52" s="5">
        <f>Volume!J29</f>
        <v>1.25E-4</v>
      </c>
      <c r="C52" s="9">
        <f>ROA!E156</f>
        <v>3.2000000000000001E-2</v>
      </c>
      <c r="D52" s="9">
        <f>Leverage!D164</f>
        <v>0.25609999999999999</v>
      </c>
      <c r="E52" s="9">
        <f>'Sales Growth'!D120</f>
        <v>0.09</v>
      </c>
      <c r="F52" s="14">
        <f>LN(725660000000)</f>
        <v>27.310347422516124</v>
      </c>
      <c r="G52" s="8">
        <f>DPR!I26</f>
        <v>0.33438099999999998</v>
      </c>
      <c r="H52" s="8">
        <f>Investment!D134</f>
        <v>4.65E-2</v>
      </c>
      <c r="J52">
        <f t="shared" si="1"/>
        <v>1.2499218815091137E-4</v>
      </c>
      <c r="K52">
        <f t="shared" si="2"/>
        <v>-3.4420193761824103</v>
      </c>
      <c r="L52">
        <f t="shared" si="3"/>
        <v>-1.3621872857766575</v>
      </c>
      <c r="M52">
        <f t="shared" si="4"/>
        <v>-2.4079456086518722</v>
      </c>
      <c r="N52">
        <f t="shared" si="5"/>
        <v>3.3072656568443204</v>
      </c>
      <c r="O52">
        <f t="shared" si="6"/>
        <v>-1.0954742175676229</v>
      </c>
      <c r="P52">
        <f t="shared" si="7"/>
        <v>-3.0683029663888264</v>
      </c>
    </row>
    <row r="53" spans="1:16">
      <c r="A53" s="12"/>
      <c r="B53" s="5">
        <f>Volume!K29</f>
        <v>7.6500000000000003E-5</v>
      </c>
      <c r="C53" s="9">
        <f>ROA!F156</f>
        <v>2.41E-2</v>
      </c>
      <c r="D53" s="9">
        <f>Leverage!E164</f>
        <v>0.2979</v>
      </c>
      <c r="E53" s="9">
        <f>'Sales Growth'!E120</f>
        <v>0.13619999999999999</v>
      </c>
      <c r="F53" s="14">
        <f>LN(986800000000)</f>
        <v>27.617733221601611</v>
      </c>
      <c r="G53" s="8">
        <f>DPR!J26</f>
        <v>0.41891000000000006</v>
      </c>
      <c r="H53" s="8">
        <f>Investment!E134</f>
        <v>7.7700000000000005E-2</v>
      </c>
      <c r="J53">
        <f t="shared" si="1"/>
        <v>7.6497074024258683E-5</v>
      </c>
      <c r="K53">
        <f t="shared" si="2"/>
        <v>-3.7255434384855279</v>
      </c>
      <c r="L53">
        <f t="shared" si="3"/>
        <v>-1.2109974192629005</v>
      </c>
      <c r="M53">
        <f t="shared" si="4"/>
        <v>-1.9936308852667251</v>
      </c>
      <c r="N53">
        <f t="shared" si="5"/>
        <v>3.3184580744322347</v>
      </c>
      <c r="O53">
        <f t="shared" si="6"/>
        <v>-0.87009917926824609</v>
      </c>
      <c r="P53">
        <f t="shared" si="7"/>
        <v>-2.5549000216085354</v>
      </c>
    </row>
    <row r="54" spans="1:16">
      <c r="A54" s="12"/>
      <c r="B54" s="5">
        <f>Volume!L29</f>
        <v>5.0099999999999998E-5</v>
      </c>
      <c r="C54" s="9">
        <f>ROA!G156</f>
        <v>2.6499999999999999E-2</v>
      </c>
      <c r="D54" s="9">
        <f>Leverage!F164</f>
        <v>0.2452</v>
      </c>
      <c r="E54" s="9">
        <f>'Sales Growth'!F120</f>
        <v>0.1459</v>
      </c>
      <c r="F54" s="14">
        <f>LN(962030000000)</f>
        <v>27.592311472157061</v>
      </c>
      <c r="G54" s="8">
        <f>DPR!K26</f>
        <v>4.1099999999999999E-3</v>
      </c>
      <c r="H54" s="8">
        <f>Investment!F134</f>
        <v>4.87E-2</v>
      </c>
      <c r="J54">
        <f t="shared" si="1"/>
        <v>5.0098745036857451E-5</v>
      </c>
      <c r="K54">
        <f t="shared" si="2"/>
        <v>-3.6306105459899607</v>
      </c>
      <c r="L54">
        <f t="shared" si="3"/>
        <v>-1.4056810749200808</v>
      </c>
      <c r="M54">
        <f t="shared" si="4"/>
        <v>-1.924833823453397</v>
      </c>
      <c r="N54">
        <f t="shared" si="5"/>
        <v>3.3175371640659348</v>
      </c>
      <c r="O54">
        <f t="shared" si="6"/>
        <v>-5.4943322504739935</v>
      </c>
      <c r="P54">
        <f t="shared" si="7"/>
        <v>-3.0220762488935931</v>
      </c>
    </row>
    <row r="55" spans="1:16">
      <c r="A55" s="12" t="s">
        <v>4542</v>
      </c>
      <c r="B55" s="5">
        <f>Volume!I31</f>
        <v>2.3739505069719749E-3</v>
      </c>
      <c r="C55" s="9">
        <f>ROA!D177</f>
        <v>0.317</v>
      </c>
      <c r="D55" s="9">
        <f>Leverage!C187</f>
        <v>2E-3</v>
      </c>
      <c r="E55" s="9">
        <f>'Sales Growth'!C137</f>
        <v>0.1275</v>
      </c>
      <c r="F55" s="8">
        <f>LN(42510000000000)</f>
        <v>31.380760458299246</v>
      </c>
      <c r="G55" s="8">
        <f>DPR!H28</f>
        <v>0.95417800000000008</v>
      </c>
      <c r="H55" s="8">
        <f>Investment!C153</f>
        <v>2.6100000000000002E-2</v>
      </c>
      <c r="J55">
        <f t="shared" si="1"/>
        <v>2.3711371381197497E-3</v>
      </c>
      <c r="K55">
        <f t="shared" si="2"/>
        <v>-1.1488535051048565</v>
      </c>
      <c r="L55">
        <f t="shared" si="3"/>
        <v>-6.2146080984221914</v>
      </c>
      <c r="M55">
        <f t="shared" si="4"/>
        <v>-2.059638914383656</v>
      </c>
      <c r="N55">
        <f t="shared" si="5"/>
        <v>3.446194980864</v>
      </c>
      <c r="O55">
        <f t="shared" si="6"/>
        <v>-4.6905042129033597E-2</v>
      </c>
      <c r="P55">
        <f t="shared" si="7"/>
        <v>-3.6458199646534895</v>
      </c>
    </row>
    <row r="56" spans="1:16">
      <c r="A56" s="12"/>
      <c r="B56" s="5">
        <f>Volume!J31</f>
        <v>3.3035853988861576E-3</v>
      </c>
      <c r="C56" s="9">
        <f>ROA!E177</f>
        <v>0.2959</v>
      </c>
      <c r="D56" s="9">
        <f>Leverage!D187</f>
        <v>2.5000000000000001E-3</v>
      </c>
      <c r="E56" s="9">
        <f>'Sales Growth'!D137</f>
        <v>8.3000000000000004E-2</v>
      </c>
      <c r="F56" s="8">
        <f>LN(43140000000000)</f>
        <v>31.39547175688956</v>
      </c>
      <c r="G56" s="8">
        <f>DPR!I28</f>
        <v>0.50550200000000001</v>
      </c>
      <c r="H56" s="8">
        <f>Investment!D153</f>
        <v>2.6700000000000002E-2</v>
      </c>
      <c r="J56">
        <f t="shared" si="1"/>
        <v>3.29814054903105E-3</v>
      </c>
      <c r="K56">
        <f t="shared" si="2"/>
        <v>-1.2177337195759732</v>
      </c>
      <c r="L56">
        <f t="shared" si="3"/>
        <v>-5.9914645471079817</v>
      </c>
      <c r="M56">
        <f t="shared" si="4"/>
        <v>-2.488914671185539</v>
      </c>
      <c r="N56">
        <f t="shared" si="5"/>
        <v>3.4466636709506937</v>
      </c>
      <c r="O56">
        <f t="shared" si="6"/>
        <v>-0.68220328405070385</v>
      </c>
      <c r="P56">
        <f t="shared" si="7"/>
        <v>-3.6230917135759331</v>
      </c>
    </row>
    <row r="57" spans="1:16">
      <c r="A57" s="12"/>
      <c r="B57" s="5">
        <f>Volume!K31</f>
        <v>1.1451359519386785E-3</v>
      </c>
      <c r="C57" s="9">
        <f>ROA!F177</f>
        <v>0.30170000000000002</v>
      </c>
      <c r="D57" s="9">
        <f>Leverage!E187</f>
        <v>2.5000000000000001E-3</v>
      </c>
      <c r="E57" s="9">
        <f>'Sales Growth'!E137</f>
        <v>7.3300000000000004E-2</v>
      </c>
      <c r="F57" s="8">
        <f>LN(46600000000000)</f>
        <v>31.472621657060149</v>
      </c>
      <c r="G57" s="8">
        <f>DPR!J28</f>
        <v>0.52293599999999996</v>
      </c>
      <c r="H57" s="8">
        <f>Investment!E153</f>
        <v>2.1899999999999999E-2</v>
      </c>
      <c r="J57">
        <f t="shared" si="1"/>
        <v>1.1444807838878501E-3</v>
      </c>
      <c r="K57">
        <f t="shared" si="2"/>
        <v>-1.1983221328171216</v>
      </c>
      <c r="L57">
        <f t="shared" si="3"/>
        <v>-5.9914645471079817</v>
      </c>
      <c r="M57">
        <f t="shared" si="4"/>
        <v>-2.613194670089531</v>
      </c>
      <c r="N57">
        <f t="shared" si="5"/>
        <v>3.4491180141543456</v>
      </c>
      <c r="O57">
        <f t="shared" si="6"/>
        <v>-0.64829619334205069</v>
      </c>
      <c r="P57">
        <f t="shared" si="7"/>
        <v>-3.8212686421596818</v>
      </c>
    </row>
    <row r="58" spans="1:16">
      <c r="A58" s="12"/>
      <c r="B58" s="5">
        <f>Volume!L31</f>
        <v>7.0278563777137516E-3</v>
      </c>
      <c r="C58" s="9">
        <f>ROA!G177</f>
        <v>0.28149999999999997</v>
      </c>
      <c r="D58" s="9">
        <f>Leverage!F187</f>
        <v>8.2000000000000007E-3</v>
      </c>
      <c r="E58" s="9">
        <f>'Sales Growth'!F137</f>
        <v>5.6899999999999999E-2</v>
      </c>
      <c r="F58" s="8">
        <f>LN(50900000000000)</f>
        <v>31.560884039485025</v>
      </c>
      <c r="G58" s="8">
        <f>DPR!K28</f>
        <v>0.32821999999999996</v>
      </c>
      <c r="H58" s="8">
        <f>Investment!F153</f>
        <v>1.9699999999999999E-2</v>
      </c>
      <c r="J58">
        <f t="shared" si="1"/>
        <v>7.0032760923626871E-3</v>
      </c>
      <c r="K58">
        <f t="shared" si="2"/>
        <v>-1.2676228314023921</v>
      </c>
      <c r="L58">
        <f t="shared" si="3"/>
        <v>-4.8036211247119294</v>
      </c>
      <c r="M58">
        <f t="shared" si="4"/>
        <v>-2.8664599378498519</v>
      </c>
      <c r="N58">
        <f t="shared" si="5"/>
        <v>3.4519185069758884</v>
      </c>
      <c r="O58">
        <f t="shared" si="6"/>
        <v>-1.1140711637306553</v>
      </c>
      <c r="P58">
        <f t="shared" si="7"/>
        <v>-3.9271366432381942</v>
      </c>
    </row>
    <row r="59" spans="1:16">
      <c r="A59" s="12" t="s">
        <v>4543</v>
      </c>
      <c r="B59" s="5">
        <f>Volume!I32</f>
        <v>9.2375575232138719E-3</v>
      </c>
      <c r="C59" s="9">
        <f>ROA!D189</f>
        <v>0.1095</v>
      </c>
      <c r="D59" s="9">
        <f>Leverage!C199</f>
        <v>7.3400000000000007E-2</v>
      </c>
      <c r="E59" s="9">
        <f>'Sales Growth'!C137</f>
        <v>0.1275</v>
      </c>
      <c r="F59" s="8">
        <f>LN(1210000000*14000)</f>
        <v>30.460698805152457</v>
      </c>
      <c r="G59" s="8">
        <f>DPR!H29</f>
        <v>0.98160400000000003</v>
      </c>
      <c r="H59" s="8">
        <f>Investment!C164</f>
        <v>1.9599999999999999E-2</v>
      </c>
      <c r="J59">
        <f t="shared" si="1"/>
        <v>9.1951522361895313E-3</v>
      </c>
      <c r="K59">
        <f t="shared" si="2"/>
        <v>-2.2118307297255817</v>
      </c>
      <c r="L59">
        <f t="shared" si="3"/>
        <v>-2.6118313433616671</v>
      </c>
      <c r="M59">
        <f t="shared" si="4"/>
        <v>-2.059638914383656</v>
      </c>
      <c r="N59">
        <f t="shared" si="5"/>
        <v>3.4164372889357182</v>
      </c>
      <c r="O59">
        <f t="shared" si="6"/>
        <v>-1.8567310614112945E-2</v>
      </c>
      <c r="P59">
        <f t="shared" si="7"/>
        <v>-3.9322257127456655</v>
      </c>
    </row>
    <row r="60" spans="1:16">
      <c r="A60" s="12"/>
      <c r="B60" s="5">
        <f>Volume!J32</f>
        <v>5.298418879681229E-3</v>
      </c>
      <c r="C60" s="9">
        <f>ROA!E189</f>
        <v>0.19670000000000001</v>
      </c>
      <c r="D60" s="9">
        <f>Leverage!D199</f>
        <v>5.7799999999999997E-2</v>
      </c>
      <c r="E60" s="9">
        <f>'Sales Growth'!D137</f>
        <v>8.3000000000000004E-2</v>
      </c>
      <c r="F60" s="8">
        <f>LN(1336000000*14000)</f>
        <v>30.55975852065826</v>
      </c>
      <c r="G60" s="8">
        <f>DPR!I29</f>
        <v>0.98503600000000002</v>
      </c>
      <c r="H60" s="8">
        <f>Investment!D164</f>
        <v>5.1499999999999997E-2</v>
      </c>
      <c r="J60">
        <f t="shared" si="1"/>
        <v>5.2844316434398882E-3</v>
      </c>
      <c r="K60">
        <f t="shared" si="2"/>
        <v>-1.6260755535871236</v>
      </c>
      <c r="L60">
        <f t="shared" si="3"/>
        <v>-2.8507665033038054</v>
      </c>
      <c r="M60">
        <f t="shared" si="4"/>
        <v>-2.488914671185539</v>
      </c>
      <c r="N60">
        <f t="shared" si="5"/>
        <v>3.4196840624561795</v>
      </c>
      <c r="O60">
        <f t="shared" si="6"/>
        <v>-1.5077090254567936E-2</v>
      </c>
      <c r="P60">
        <f t="shared" si="7"/>
        <v>-2.9661734713124468</v>
      </c>
    </row>
    <row r="61" spans="1:16">
      <c r="A61" s="12"/>
      <c r="B61" s="5">
        <f>Volume!K32</f>
        <v>2.0258823601210481E-3</v>
      </c>
      <c r="C61" s="9">
        <f>ROA!F189</f>
        <v>0.187</v>
      </c>
      <c r="D61" s="9">
        <f>Leverage!E199</f>
        <v>8.1199999999999994E-2</v>
      </c>
      <c r="E61" s="9">
        <f>'Sales Growth'!E137</f>
        <v>7.3300000000000004E-2</v>
      </c>
      <c r="F61" s="8">
        <f>LN(1440000000*14000)</f>
        <v>30.634721559131716</v>
      </c>
      <c r="G61" s="8">
        <f>DPR!J29</f>
        <v>1.006948</v>
      </c>
      <c r="H61" s="8">
        <f>Investment!E164</f>
        <v>7.0300000000000001E-2</v>
      </c>
      <c r="J61">
        <f t="shared" si="1"/>
        <v>2.0238330277899891E-3</v>
      </c>
      <c r="K61">
        <f t="shared" si="2"/>
        <v>-1.6766466621275504</v>
      </c>
      <c r="L61">
        <f t="shared" si="3"/>
        <v>-2.5108400318145048</v>
      </c>
      <c r="M61">
        <f t="shared" si="4"/>
        <v>-2.613194670089531</v>
      </c>
      <c r="N61">
        <f t="shared" si="5"/>
        <v>3.422134057157423</v>
      </c>
      <c r="O61">
        <f t="shared" si="6"/>
        <v>6.9239738728224072E-3</v>
      </c>
      <c r="P61">
        <f t="shared" si="7"/>
        <v>-2.6549834801655177</v>
      </c>
    </row>
    <row r="62" spans="1:16">
      <c r="A62" s="12"/>
      <c r="B62" s="5">
        <f>Volume!L32</f>
        <v>9.1265958712833748E-3</v>
      </c>
      <c r="C62" s="9">
        <f>ROA!G189</f>
        <v>9.7600000000000006E-2</v>
      </c>
      <c r="D62" s="9">
        <f>Leverage!F199</f>
        <v>8.8000000000000005E-3</v>
      </c>
      <c r="E62" s="9">
        <f>'Sales Growth'!F137</f>
        <v>5.6899999999999999E-2</v>
      </c>
      <c r="F62" s="8">
        <f>LN(1230000000*14000)</f>
        <v>30.477092614928132</v>
      </c>
      <c r="G62" s="8">
        <f>DPR!K29</f>
        <v>1.015552</v>
      </c>
      <c r="H62" s="8">
        <f>Investment!F164</f>
        <v>5.7799999999999997E-2</v>
      </c>
      <c r="J62">
        <f t="shared" si="1"/>
        <v>9.0852001724296208E-3</v>
      </c>
      <c r="K62">
        <f t="shared" si="2"/>
        <v>-2.3268777855630902</v>
      </c>
      <c r="L62">
        <f t="shared" si="3"/>
        <v>-4.7330035574979759</v>
      </c>
      <c r="M62">
        <f t="shared" si="4"/>
        <v>-2.8664599378498519</v>
      </c>
      <c r="N62">
        <f t="shared" si="5"/>
        <v>3.4169753396195102</v>
      </c>
      <c r="O62">
        <f t="shared" si="6"/>
        <v>1.543230702961852E-2</v>
      </c>
      <c r="P62">
        <f t="shared" si="7"/>
        <v>-2.8507665033038054</v>
      </c>
    </row>
    <row r="63" spans="1:16">
      <c r="A63" s="12" t="s">
        <v>4545</v>
      </c>
      <c r="B63" s="5">
        <f>Volume!I34</f>
        <v>1.4315730124260537E-3</v>
      </c>
      <c r="C63" s="9">
        <f>ROA!D192</f>
        <v>0.1298</v>
      </c>
      <c r="D63" s="9">
        <f>Leverage!C202</f>
        <v>7.0599999999999996E-2</v>
      </c>
      <c r="E63" s="9">
        <f>'Sales Growth'!C151</f>
        <v>0.1227</v>
      </c>
      <c r="F63" s="8">
        <f>LN(28900000000000)</f>
        <v>30.994862711046935</v>
      </c>
      <c r="G63" s="8">
        <f>DPR!H31</f>
        <v>0.49699700000000002</v>
      </c>
      <c r="H63" s="8">
        <f>Investment!C167</f>
        <v>3.2599999999999997E-2</v>
      </c>
      <c r="J63">
        <f t="shared" si="1"/>
        <v>1.4305492886882306E-3</v>
      </c>
      <c r="K63">
        <f t="shared" si="2"/>
        <v>-2.0417604747121474</v>
      </c>
      <c r="L63">
        <f t="shared" si="3"/>
        <v>-2.6507251344829408</v>
      </c>
      <c r="M63">
        <f t="shared" si="4"/>
        <v>-2.0980129272652714</v>
      </c>
      <c r="N63">
        <f t="shared" si="5"/>
        <v>3.4338214717537499</v>
      </c>
      <c r="O63">
        <f t="shared" si="6"/>
        <v>-0.6991712891210301</v>
      </c>
      <c r="P63">
        <f t="shared" si="7"/>
        <v>-3.423442990609475</v>
      </c>
    </row>
    <row r="64" spans="1:16">
      <c r="A64" s="12"/>
      <c r="B64" s="5">
        <f>Volume!J34</f>
        <v>9.4704060822031245E-4</v>
      </c>
      <c r="C64" s="9">
        <f>ROA!E192</f>
        <v>0.1255</v>
      </c>
      <c r="D64" s="9">
        <f>Leverage!D202</f>
        <v>7.4399999999999994E-2</v>
      </c>
      <c r="E64" s="9">
        <f>'Sales Growth'!D151</f>
        <v>0.1056</v>
      </c>
      <c r="F64" s="8">
        <f>LN(31620000000000)</f>
        <v>31.084810947709872</v>
      </c>
      <c r="G64" s="8">
        <f>DPR!I31</f>
        <v>0.78533399999999998</v>
      </c>
      <c r="H64" s="8">
        <f>Investment!D167</f>
        <v>5.9900000000000002E-2</v>
      </c>
      <c r="J64">
        <f t="shared" ref="J64:J127" si="8">LN(B64+1)</f>
        <v>9.4659244819174208E-4</v>
      </c>
      <c r="K64">
        <f t="shared" ref="K64:K127" si="9">LN(C64)</f>
        <v>-2.0754495204102983</v>
      </c>
      <c r="L64">
        <f t="shared" ref="L64:L127" si="10">LN(D64)</f>
        <v>-2.5982993371430911</v>
      </c>
      <c r="M64">
        <f t="shared" ref="M64:M127" si="11">LN(E64)</f>
        <v>-2.2480969077099759</v>
      </c>
      <c r="N64">
        <f t="shared" ref="N64:N127" si="12">LN(F64)</f>
        <v>3.4367193059176975</v>
      </c>
      <c r="O64">
        <f t="shared" ref="O64:O127" si="13">LN(G64)</f>
        <v>-0.24164617398269514</v>
      </c>
      <c r="P64">
        <f t="shared" ref="P64:P127" si="14">LN(H64)</f>
        <v>-2.8150787738607335</v>
      </c>
    </row>
    <row r="65" spans="1:16">
      <c r="A65" s="12"/>
      <c r="B65" s="5">
        <f>Volume!K34</f>
        <v>1.7663408553318387E-3</v>
      </c>
      <c r="C65" s="9">
        <f>ROA!F192</f>
        <v>0.13869999999999999</v>
      </c>
      <c r="D65" s="9">
        <f>Leverage!E202</f>
        <v>5.9900000000000002E-2</v>
      </c>
      <c r="E65" s="9">
        <f>'Sales Growth'!E151</f>
        <v>9.0300000000000005E-2</v>
      </c>
      <c r="F65" s="8">
        <f>LN(34370000000000)</f>
        <v>31.16820520679029</v>
      </c>
      <c r="G65" s="8">
        <f>DPR!J31</f>
        <v>0.53511699999999995</v>
      </c>
      <c r="H65" s="8">
        <f>Investment!E167</f>
        <v>0.10639999999999999</v>
      </c>
      <c r="J65">
        <f t="shared" si="8"/>
        <v>1.7647827098641311E-3</v>
      </c>
      <c r="K65">
        <f t="shared" si="9"/>
        <v>-1.9754419516613513</v>
      </c>
      <c r="L65">
        <f t="shared" si="10"/>
        <v>-2.8150787738607335</v>
      </c>
      <c r="M65">
        <f t="shared" si="11"/>
        <v>-2.4046178185591973</v>
      </c>
      <c r="N65">
        <f t="shared" si="12"/>
        <v>3.4393985113318766</v>
      </c>
      <c r="O65">
        <f t="shared" si="13"/>
        <v>-0.62526986440686527</v>
      </c>
      <c r="P65">
        <f t="shared" si="14"/>
        <v>-2.2405497020745933</v>
      </c>
    </row>
    <row r="66" spans="1:16">
      <c r="A66" s="12"/>
      <c r="B66" s="5">
        <f>Volume!L34</f>
        <v>2.3874233007228343E-3</v>
      </c>
      <c r="C66" s="9">
        <f>ROA!G192</f>
        <v>0.13789999999999999</v>
      </c>
      <c r="D66" s="9">
        <f>Leverage!F202</f>
        <v>6.0699999999999997E-2</v>
      </c>
      <c r="E66" s="9">
        <f>'Sales Growth'!F151</f>
        <v>7.1199999999999999E-2</v>
      </c>
      <c r="F66" s="8">
        <f>LN(38710000000000)</f>
        <v>31.287119080518107</v>
      </c>
      <c r="G66" s="8">
        <f>DPR!K31</f>
        <v>0.47937799999999997</v>
      </c>
      <c r="H66" s="8">
        <f>Investment!F167</f>
        <v>5.5500000000000001E-2</v>
      </c>
      <c r="J66">
        <f t="shared" si="8"/>
        <v>2.3845779335451632E-3</v>
      </c>
      <c r="K66">
        <f t="shared" si="9"/>
        <v>-1.981226494182881</v>
      </c>
      <c r="L66">
        <f t="shared" si="10"/>
        <v>-2.8018115809166844</v>
      </c>
      <c r="M66">
        <f t="shared" si="11"/>
        <v>-2.6422624605642069</v>
      </c>
      <c r="N66">
        <f t="shared" si="12"/>
        <v>3.4432064818701349</v>
      </c>
      <c r="O66">
        <f t="shared" si="13"/>
        <v>-0.73526584873156753</v>
      </c>
      <c r="P66">
        <f t="shared" si="14"/>
        <v>-2.8913722582297483</v>
      </c>
    </row>
    <row r="67" spans="1:16">
      <c r="A67" s="12" t="s">
        <v>4546</v>
      </c>
      <c r="B67" s="5">
        <f>Volume!I35</f>
        <v>1.7129212423445991E-3</v>
      </c>
      <c r="C67" s="9">
        <f>ROA!D193</f>
        <v>4.7600000000000003E-2</v>
      </c>
      <c r="D67" s="9">
        <f>Leverage!C203</f>
        <v>0.27279999999999999</v>
      </c>
      <c r="E67" s="9">
        <f>'Sales Growth'!C152</f>
        <v>7.9200000000000007E-2</v>
      </c>
      <c r="F67" s="8">
        <f>LN(82170000000000)</f>
        <v>32.039811387871644</v>
      </c>
      <c r="G67" s="8">
        <f>DPR!H32</f>
        <v>0.55290799999999996</v>
      </c>
      <c r="H67" s="8">
        <f>Investment!C168</f>
        <v>3.5799999999999998E-2</v>
      </c>
      <c r="J67">
        <f t="shared" si="8"/>
        <v>1.7114558658976459E-3</v>
      </c>
      <c r="K67">
        <f t="shared" si="9"/>
        <v>-3.0449225177447627</v>
      </c>
      <c r="L67">
        <f t="shared" si="10"/>
        <v>-1.29901635301283</v>
      </c>
      <c r="M67">
        <f t="shared" si="11"/>
        <v>-2.5357789801617567</v>
      </c>
      <c r="N67">
        <f t="shared" si="12"/>
        <v>3.4669792354122833</v>
      </c>
      <c r="O67">
        <f t="shared" si="13"/>
        <v>-0.59256365658032994</v>
      </c>
      <c r="P67">
        <f t="shared" si="14"/>
        <v>-3.3298073855754824</v>
      </c>
    </row>
    <row r="68" spans="1:16">
      <c r="A68" s="12"/>
      <c r="B68" s="5">
        <f>Volume!J35</f>
        <v>3.4189999231352252E-3</v>
      </c>
      <c r="C68" s="9">
        <f>ROA!E193</f>
        <v>4.87E-2</v>
      </c>
      <c r="D68" s="9">
        <f>Leverage!D203</f>
        <v>0.27510000000000001</v>
      </c>
      <c r="E68" s="9">
        <f>'Sales Growth'!D152</f>
        <v>7.0400000000000004E-2</v>
      </c>
      <c r="F68" s="8">
        <f>LN(88400000000000)</f>
        <v>32.112893085572146</v>
      </c>
      <c r="G68" s="8">
        <f>DPR!I32</f>
        <v>8.9367000000000002E-2</v>
      </c>
      <c r="H68" s="8">
        <f>Investment!D168</f>
        <v>8.1100000000000005E-2</v>
      </c>
      <c r="J68">
        <f t="shared" si="8"/>
        <v>3.4131684310319626E-3</v>
      </c>
      <c r="K68">
        <f t="shared" si="9"/>
        <v>-3.0220762488935931</v>
      </c>
      <c r="L68">
        <f t="shared" si="10"/>
        <v>-1.2906206110516081</v>
      </c>
      <c r="M68">
        <f t="shared" si="11"/>
        <v>-2.6535620158181401</v>
      </c>
      <c r="N68">
        <f t="shared" si="12"/>
        <v>3.4692576032508344</v>
      </c>
      <c r="O68">
        <f t="shared" si="13"/>
        <v>-2.4150037924637786</v>
      </c>
      <c r="P68">
        <f t="shared" si="14"/>
        <v>-2.5120723178607696</v>
      </c>
    </row>
    <row r="69" spans="1:16">
      <c r="A69" s="12"/>
      <c r="B69" s="5">
        <f>Volume!K35</f>
        <v>7.891754325582308E-4</v>
      </c>
      <c r="C69" s="9">
        <f>ROA!F193</f>
        <v>4.5100000000000001E-2</v>
      </c>
      <c r="D69" s="9">
        <f>Leverage!E203</f>
        <v>0.30599999999999999</v>
      </c>
      <c r="E69" s="9">
        <f>'Sales Growth'!E152</f>
        <v>5.8000000000000003E-2</v>
      </c>
      <c r="F69" s="8">
        <f>LN(96540000000000)</f>
        <v>32.200978546160897</v>
      </c>
      <c r="G69" s="8">
        <f>DPR!J32</f>
        <v>0.18044000000000002</v>
      </c>
      <c r="H69" s="8">
        <f>Investment!E168</f>
        <v>0.08</v>
      </c>
      <c r="J69">
        <f t="shared" si="8"/>
        <v>7.8886419736185973E-4</v>
      </c>
      <c r="K69">
        <f t="shared" si="9"/>
        <v>-3.0988730324735045</v>
      </c>
      <c r="L69">
        <f t="shared" si="10"/>
        <v>-1.1841701770297564</v>
      </c>
      <c r="M69">
        <f t="shared" si="11"/>
        <v>-2.8473122684357177</v>
      </c>
      <c r="N69">
        <f t="shared" si="12"/>
        <v>3.4719968417209333</v>
      </c>
      <c r="O69">
        <f t="shared" si="13"/>
        <v>-1.7123569664419418</v>
      </c>
      <c r="P69">
        <f t="shared" si="14"/>
        <v>-2.5257286443082556</v>
      </c>
    </row>
    <row r="70" spans="1:16">
      <c r="A70" s="12"/>
      <c r="B70" s="5">
        <f>Volume!L35</f>
        <v>1.0605970408658304E-3</v>
      </c>
      <c r="C70" s="9">
        <f>ROA!G193</f>
        <v>5.0900000000000001E-2</v>
      </c>
      <c r="D70" s="9">
        <f>Leverage!F203</f>
        <v>0.23880000000000001</v>
      </c>
      <c r="E70" s="9">
        <f>'Sales Growth'!F152</f>
        <v>3.7999999999999999E-2</v>
      </c>
      <c r="F70" s="8">
        <f>LN(96200000000000)</f>
        <v>32.197450473600206</v>
      </c>
      <c r="G70" s="8">
        <f>DPR!K32</f>
        <v>8.1008999999999998E-2</v>
      </c>
      <c r="H70" s="8">
        <f>Investment!F168</f>
        <v>4.8300000000000003E-2</v>
      </c>
      <c r="J70">
        <f t="shared" si="8"/>
        <v>1.0600350051848551E-3</v>
      </c>
      <c r="K70">
        <f t="shared" si="9"/>
        <v>-2.9778923554256598</v>
      </c>
      <c r="L70">
        <f t="shared" si="10"/>
        <v>-1.4321288974636899</v>
      </c>
      <c r="M70">
        <f t="shared" si="11"/>
        <v>-3.2701691192557512</v>
      </c>
      <c r="N70">
        <f t="shared" si="12"/>
        <v>3.4718872715771294</v>
      </c>
      <c r="O70">
        <f t="shared" si="13"/>
        <v>-2.5131950193709693</v>
      </c>
      <c r="P70">
        <f t="shared" si="14"/>
        <v>-3.03032371832361</v>
      </c>
    </row>
    <row r="71" spans="1:16">
      <c r="A71" s="12" t="s">
        <v>4548</v>
      </c>
      <c r="B71" s="5">
        <f>Volume!I37</f>
        <v>1.2814097064965665E-2</v>
      </c>
      <c r="C71" s="9">
        <f>ROA!D202</f>
        <v>1.9800000000000002E-2</v>
      </c>
      <c r="D71" s="9">
        <f>Leverage!C214</f>
        <v>0.11070000000000001</v>
      </c>
      <c r="E71" s="9">
        <f>'Sales Growth'!C160</f>
        <v>6.4100000000000004E-2</v>
      </c>
      <c r="F71" s="8">
        <f>LN(2480000000000)</f>
        <v>28.539279676105441</v>
      </c>
      <c r="G71" s="8">
        <f>DPR!H35</f>
        <v>0.66356700000000002</v>
      </c>
      <c r="H71" s="8">
        <f>Investment!C177</f>
        <v>5.7999999999999996E-3</v>
      </c>
      <c r="J71">
        <f t="shared" si="8"/>
        <v>1.2732691213914888E-2</v>
      </c>
      <c r="K71">
        <f t="shared" si="9"/>
        <v>-3.9220733412816475</v>
      </c>
      <c r="L71">
        <f t="shared" si="10"/>
        <v>-2.2009314392675456</v>
      </c>
      <c r="M71">
        <f t="shared" si="11"/>
        <v>-2.7473109150555128</v>
      </c>
      <c r="N71">
        <f t="shared" si="12"/>
        <v>3.3512813726308601</v>
      </c>
      <c r="O71">
        <f t="shared" si="13"/>
        <v>-0.41012545065462341</v>
      </c>
      <c r="P71">
        <f t="shared" si="14"/>
        <v>-5.1498973614297636</v>
      </c>
    </row>
    <row r="72" spans="1:16">
      <c r="A72" s="12"/>
      <c r="B72" s="5">
        <f>Volume!J37</f>
        <v>3.3444793339560386E-3</v>
      </c>
      <c r="C72" s="9">
        <f>ROA!E202</f>
        <v>4.6399999999999997E-2</v>
      </c>
      <c r="D72" s="9">
        <f>Leverage!D214</f>
        <v>3.2399999999999998E-2</v>
      </c>
      <c r="E72" s="9">
        <f>'Sales Growth'!D160</f>
        <v>6.54E-2</v>
      </c>
      <c r="F72" s="8">
        <f>LN(2430000000000)</f>
        <v>28.518912373281005</v>
      </c>
      <c r="G72" s="8">
        <f>DPR!I35</f>
        <v>0.30555199999999999</v>
      </c>
      <c r="H72" s="8">
        <f>Investment!D177</f>
        <v>6.4999999999999997E-3</v>
      </c>
      <c r="J72">
        <f t="shared" si="8"/>
        <v>3.3388990016908725E-3</v>
      </c>
      <c r="K72">
        <f t="shared" si="9"/>
        <v>-3.0704558197499274</v>
      </c>
      <c r="L72">
        <f t="shared" si="10"/>
        <v>-3.4295968561838532</v>
      </c>
      <c r="M72">
        <f t="shared" si="11"/>
        <v>-2.7272330205189839</v>
      </c>
      <c r="N72">
        <f t="shared" si="12"/>
        <v>3.3505674592397079</v>
      </c>
      <c r="O72">
        <f t="shared" si="13"/>
        <v>-1.1856353020890789</v>
      </c>
      <c r="P72">
        <f t="shared" si="14"/>
        <v>-5.0359531020805459</v>
      </c>
    </row>
    <row r="73" spans="1:16">
      <c r="A73" s="12"/>
      <c r="B73" s="5">
        <f>Volume!K37</f>
        <v>5.9470224478505654E-3</v>
      </c>
      <c r="C73" s="9">
        <f>ROA!F202</f>
        <v>4.5199999999999997E-2</v>
      </c>
      <c r="D73" s="9">
        <f>Leverage!E214</f>
        <v>2.5100000000000001E-2</v>
      </c>
      <c r="E73" s="9">
        <f>'Sales Growth'!E160</f>
        <v>7.8700000000000006E-2</v>
      </c>
      <c r="F73" s="8">
        <f>LN(2460000000000)</f>
        <v>28.531182465872821</v>
      </c>
      <c r="G73" s="8">
        <f>DPR!J35</f>
        <v>0.99776799999999999</v>
      </c>
      <c r="H73" s="8">
        <f>Investment!E177</f>
        <v>3.15E-2</v>
      </c>
      <c r="J73">
        <f t="shared" si="8"/>
        <v>5.9294087082241717E-3</v>
      </c>
      <c r="K73">
        <f t="shared" si="9"/>
        <v>-3.0966581921439515</v>
      </c>
      <c r="L73">
        <f t="shared" si="10"/>
        <v>-3.6848874328443988</v>
      </c>
      <c r="M73">
        <f t="shared" si="11"/>
        <v>-2.5421121235587796</v>
      </c>
      <c r="N73">
        <f t="shared" si="12"/>
        <v>3.3509976107693631</v>
      </c>
      <c r="O73">
        <f t="shared" si="13"/>
        <v>-2.2344946246928101E-3</v>
      </c>
      <c r="P73">
        <f t="shared" si="14"/>
        <v>-3.4577677331505496</v>
      </c>
    </row>
    <row r="74" spans="1:16">
      <c r="A74" s="12"/>
      <c r="B74" s="5">
        <f>Volume!L37</f>
        <v>1.4095506771462232E-5</v>
      </c>
      <c r="C74" s="9">
        <f>ROA!G202</f>
        <v>3.7900000000000003E-2</v>
      </c>
      <c r="D74" s="9">
        <f>Leverage!F214</f>
        <v>2.01E-2</v>
      </c>
      <c r="E74" s="9">
        <f>'Sales Growth'!F160</f>
        <v>3.3700000000000001E-2</v>
      </c>
      <c r="F74" s="8">
        <f>LN(2830000000000)</f>
        <v>28.671297827583693</v>
      </c>
      <c r="G74" s="8">
        <f>DPR!K35</f>
        <v>8.6486000000000007E-2</v>
      </c>
      <c r="H74" s="8">
        <f>Investment!F177</f>
        <v>7.4700000000000003E-2</v>
      </c>
      <c r="J74">
        <f t="shared" si="8"/>
        <v>1.4095407430838836E-5</v>
      </c>
      <c r="K74">
        <f t="shared" si="9"/>
        <v>-3.2728041668937564</v>
      </c>
      <c r="L74">
        <f t="shared" si="10"/>
        <v>-3.907035463917107</v>
      </c>
      <c r="M74">
        <f t="shared" si="11"/>
        <v>-3.3902574416238211</v>
      </c>
      <c r="N74">
        <f t="shared" si="12"/>
        <v>3.3558965466622714</v>
      </c>
      <c r="O74">
        <f t="shared" si="13"/>
        <v>-2.4477727278543639</v>
      </c>
      <c r="P74">
        <f t="shared" si="14"/>
        <v>-2.5942751868433653</v>
      </c>
    </row>
    <row r="75" spans="1:16">
      <c r="A75" s="12" t="s">
        <v>4549</v>
      </c>
      <c r="B75" s="5">
        <f>Volume!I38</f>
        <v>1.1736271715530324E-3</v>
      </c>
      <c r="C75" s="9">
        <f>ROA!D204</f>
        <v>0.16619999999999999</v>
      </c>
      <c r="D75" s="9">
        <f>Leverage!C216</f>
        <v>0.13339999999999999</v>
      </c>
      <c r="E75" s="9">
        <f>'Sales Growth'!C161</f>
        <v>3.4099999999999998E-2</v>
      </c>
      <c r="F75" s="8">
        <f>LN(29900000000000)</f>
        <v>31.02887959632519</v>
      </c>
      <c r="G75" s="8">
        <f>DPR!H36</f>
        <v>0.79616699999999996</v>
      </c>
      <c r="H75" s="8">
        <f>Investment!C179</f>
        <v>6.08E-2</v>
      </c>
      <c r="J75">
        <f t="shared" si="8"/>
        <v>1.1729390095618815E-3</v>
      </c>
      <c r="K75">
        <f t="shared" si="9"/>
        <v>-1.7945633965607892</v>
      </c>
      <c r="L75">
        <f t="shared" si="10"/>
        <v>-2.0144031455006139</v>
      </c>
      <c r="M75">
        <f t="shared" si="11"/>
        <v>-3.3784578946926658</v>
      </c>
      <c r="N75">
        <f t="shared" si="12"/>
        <v>3.4349183706967512</v>
      </c>
      <c r="O75">
        <f t="shared" si="13"/>
        <v>-0.22794631614751071</v>
      </c>
      <c r="P75">
        <f t="shared" si="14"/>
        <v>-2.8001654900100159</v>
      </c>
    </row>
    <row r="76" spans="1:16">
      <c r="A76" s="12"/>
      <c r="B76" s="5">
        <f>Volume!J38</f>
        <v>2.1114320609715766E-3</v>
      </c>
      <c r="C76" s="9">
        <f>ROA!E204</f>
        <v>0.17369999999999999</v>
      </c>
      <c r="D76" s="9">
        <f>Leverage!D216</f>
        <v>0.15123</v>
      </c>
      <c r="E76" s="9">
        <f>'Sales Growth'!D161</f>
        <v>1.7399999999999999E-2</v>
      </c>
      <c r="F76" s="8">
        <f>LN(3160000000000)</f>
        <v>28.78159314352737</v>
      </c>
      <c r="G76" s="8">
        <f>DPR!I36</f>
        <v>0.99946599999999997</v>
      </c>
      <c r="H76" s="8">
        <f>Investment!D179</f>
        <v>0.1123</v>
      </c>
      <c r="J76">
        <f t="shared" si="8"/>
        <v>2.1092061210275449E-3</v>
      </c>
      <c r="K76">
        <f t="shared" si="9"/>
        <v>-1.7504256057350778</v>
      </c>
      <c r="L76">
        <f t="shared" si="10"/>
        <v>-1.8889534222194879</v>
      </c>
      <c r="M76">
        <f t="shared" si="11"/>
        <v>-4.0512850727616536</v>
      </c>
      <c r="N76">
        <f t="shared" si="12"/>
        <v>3.359736055852343</v>
      </c>
      <c r="O76">
        <f t="shared" si="13"/>
        <v>-5.3414262877813962E-4</v>
      </c>
      <c r="P76">
        <f t="shared" si="14"/>
        <v>-2.1865814172377398</v>
      </c>
    </row>
    <row r="77" spans="1:16">
      <c r="A77" s="12"/>
      <c r="B77" s="5">
        <f>Volume!K38</f>
        <v>1.1005039832942764E-3</v>
      </c>
      <c r="C77" s="9">
        <f>ROA!F204</f>
        <v>0.2044</v>
      </c>
      <c r="D77" s="9">
        <f>Leverage!E216</f>
        <v>0.14230999999999999</v>
      </c>
      <c r="E77" s="9">
        <f>'Sales Growth'!E161</f>
        <v>3.3799999999999997E-2</v>
      </c>
      <c r="F77" s="8">
        <f>LN(3340000000000)</f>
        <v>28.836991922917157</v>
      </c>
      <c r="G77" s="8">
        <f>DPR!J36</f>
        <v>1.003099</v>
      </c>
      <c r="H77" s="8">
        <f>Investment!E179</f>
        <v>7.5999999999999998E-2</v>
      </c>
      <c r="J77">
        <f t="shared" si="8"/>
        <v>1.0998988726960786E-3</v>
      </c>
      <c r="K77">
        <f t="shared" si="9"/>
        <v>-1.5876764206525877</v>
      </c>
      <c r="L77">
        <f t="shared" si="10"/>
        <v>-1.9497475022865685</v>
      </c>
      <c r="M77">
        <f t="shared" si="11"/>
        <v>-3.3872944764931638</v>
      </c>
      <c r="N77">
        <f t="shared" si="12"/>
        <v>3.3616590047202028</v>
      </c>
      <c r="O77">
        <f t="shared" si="13"/>
        <v>3.0942079972251665E-3</v>
      </c>
      <c r="P77">
        <f t="shared" si="14"/>
        <v>-2.5770219386958062</v>
      </c>
    </row>
    <row r="78" spans="1:16">
      <c r="A78" s="12"/>
      <c r="B78" s="5">
        <f>Volume!L38</f>
        <v>4.5701992661722443E-4</v>
      </c>
      <c r="C78" s="9">
        <f>ROA!G204</f>
        <v>0.23519999999999999</v>
      </c>
      <c r="D78" s="9">
        <f>Leverage!F216</f>
        <v>9.0209999999999999E-2</v>
      </c>
      <c r="E78" s="9">
        <f>'Sales Growth'!F161</f>
        <v>7.0499999999999993E-2</v>
      </c>
      <c r="F78" s="8">
        <f>LN(3530000000000)</f>
        <v>28.892318986873754</v>
      </c>
      <c r="G78" s="8">
        <f>DPR!K36</f>
        <v>8.2130999999999996E-2</v>
      </c>
      <c r="H78" s="8">
        <f>Investment!F179</f>
        <v>3.5799999999999998E-2</v>
      </c>
      <c r="J78">
        <f t="shared" si="8"/>
        <v>4.5691552481843601E-4</v>
      </c>
      <c r="K78">
        <f t="shared" si="9"/>
        <v>-1.4473190629576653</v>
      </c>
      <c r="L78">
        <f t="shared" si="10"/>
        <v>-2.4056149933135895</v>
      </c>
      <c r="M78">
        <f t="shared" si="11"/>
        <v>-2.6521425691639142</v>
      </c>
      <c r="N78">
        <f t="shared" si="12"/>
        <v>3.3635757807919804</v>
      </c>
      <c r="O78">
        <f t="shared" si="13"/>
        <v>-2.4994397454853372</v>
      </c>
      <c r="P78">
        <f t="shared" si="14"/>
        <v>-3.3298073855754824</v>
      </c>
    </row>
    <row r="79" spans="1:16">
      <c r="A79" s="12" t="s">
        <v>4550</v>
      </c>
      <c r="B79" s="5">
        <f>Volume!I39</f>
        <v>1.4780321116554561E-3</v>
      </c>
      <c r="C79" s="9">
        <f>ROA!D220</f>
        <v>0.1134</v>
      </c>
      <c r="D79" s="9">
        <f>Leverage!C233</f>
        <v>0.3049</v>
      </c>
      <c r="E79" s="9">
        <f>'Sales Growth'!C176</f>
        <v>0.1177</v>
      </c>
      <c r="F79" s="8">
        <f>LN(19250000000000)</f>
        <v>30.588532176662341</v>
      </c>
      <c r="G79" s="8">
        <f>DPR!H37</f>
        <v>0.24820900000000001</v>
      </c>
      <c r="H79" s="8">
        <f>Investment!C193</f>
        <v>4.3200000000000002E-2</v>
      </c>
      <c r="J79">
        <f t="shared" si="8"/>
        <v>1.4769408972947953E-3</v>
      </c>
      <c r="K79">
        <f t="shared" si="9"/>
        <v>-2.1768338876884852</v>
      </c>
      <c r="L79">
        <f t="shared" si="10"/>
        <v>-1.1877714249879279</v>
      </c>
      <c r="M79">
        <f t="shared" si="11"/>
        <v>-2.1396162647159058</v>
      </c>
      <c r="N79">
        <f t="shared" si="12"/>
        <v>3.420625173247656</v>
      </c>
      <c r="O79">
        <f t="shared" si="13"/>
        <v>-1.3934841457892728</v>
      </c>
      <c r="P79">
        <f t="shared" si="14"/>
        <v>-3.1419147837320724</v>
      </c>
    </row>
    <row r="80" spans="1:16">
      <c r="A80" s="12"/>
      <c r="B80" s="5">
        <f>Volume!J39</f>
        <v>1.2408639294257616E-3</v>
      </c>
      <c r="C80" s="9">
        <f>ROA!E220</f>
        <v>4.7600000000000003E-2</v>
      </c>
      <c r="D80" s="9">
        <f>Leverage!D233</f>
        <v>0.30409999999999998</v>
      </c>
      <c r="E80" s="9">
        <f>'Sales Growth'!D176</f>
        <v>0.10829999999999999</v>
      </c>
      <c r="F80" s="8">
        <f>LN(19960000000000)</f>
        <v>30.624751386811866</v>
      </c>
      <c r="G80" s="8">
        <f>DPR!I37</f>
        <v>0.24664299999999997</v>
      </c>
      <c r="H80" s="8">
        <f>Investment!D193</f>
        <v>7.8399999999999997E-2</v>
      </c>
      <c r="J80">
        <f t="shared" si="8"/>
        <v>1.2400946940585315E-3</v>
      </c>
      <c r="K80">
        <f t="shared" si="9"/>
        <v>-3.0449225177447627</v>
      </c>
      <c r="L80">
        <f t="shared" si="10"/>
        <v>-1.1903986842988181</v>
      </c>
      <c r="M80">
        <f t="shared" si="11"/>
        <v>-2.2228501249751922</v>
      </c>
      <c r="N80">
        <f t="shared" si="12"/>
        <v>3.4218085508502867</v>
      </c>
      <c r="O80">
        <f t="shared" si="13"/>
        <v>-1.3998133320010842</v>
      </c>
      <c r="P80">
        <f t="shared" si="14"/>
        <v>-2.5459313516257751</v>
      </c>
    </row>
    <row r="81" spans="1:16">
      <c r="A81" s="12"/>
      <c r="B81" s="5">
        <f>Volume!K39</f>
        <v>5.9367939375737123E-3</v>
      </c>
      <c r="C81" s="9">
        <f>ROA!F220</f>
        <v>0.1008</v>
      </c>
      <c r="D81" s="9">
        <f>Leverage!E233</f>
        <v>0.26440000000000002</v>
      </c>
      <c r="E81" s="9">
        <f>'Sales Growth'!E176</f>
        <v>9.7900000000000001E-2</v>
      </c>
      <c r="F81" s="8">
        <f>LN(2304000000000)</f>
        <v>28.465667858762192</v>
      </c>
      <c r="G81" s="8">
        <f>DPR!J37</f>
        <v>0.34585500000000002</v>
      </c>
      <c r="H81" s="8">
        <f>Investment!E193</f>
        <v>0.10199999999999999</v>
      </c>
      <c r="J81">
        <f t="shared" si="8"/>
        <v>5.9192406158186635E-3</v>
      </c>
      <c r="K81">
        <f t="shared" si="9"/>
        <v>-2.294616923344869</v>
      </c>
      <c r="L81">
        <f t="shared" si="10"/>
        <v>-1.3302921710046058</v>
      </c>
      <c r="M81">
        <f t="shared" si="11"/>
        <v>-2.3238087294456724</v>
      </c>
      <c r="N81">
        <f t="shared" si="12"/>
        <v>3.3486987245821251</v>
      </c>
      <c r="O81">
        <f t="shared" si="13"/>
        <v>-1.0617356669054507</v>
      </c>
      <c r="P81">
        <f t="shared" si="14"/>
        <v>-2.2827824656978661</v>
      </c>
    </row>
    <row r="82" spans="1:16">
      <c r="A82" s="12"/>
      <c r="B82" s="5">
        <f>Volume!L39</f>
        <v>6.0013036831401889E-3</v>
      </c>
      <c r="C82" s="9">
        <f>ROA!G220</f>
        <v>7.0999999999999994E-2</v>
      </c>
      <c r="D82" s="9">
        <f>Leverage!F233</f>
        <v>0.34499999999999997</v>
      </c>
      <c r="E82" s="9">
        <f>'Sales Growth'!F176</f>
        <v>9.8100000000000007E-2</v>
      </c>
      <c r="F82" s="8">
        <f>LN(26650000000000)</f>
        <v>30.913810266540402</v>
      </c>
      <c r="G82" s="8">
        <f>DPR!K37</f>
        <v>0.52201900000000001</v>
      </c>
      <c r="H82" s="8">
        <f>Investment!F193</f>
        <v>0.12429999999999999</v>
      </c>
      <c r="J82">
        <f t="shared" si="8"/>
        <v>5.9833675844017256E-3</v>
      </c>
      <c r="K82">
        <f t="shared" si="9"/>
        <v>-2.6450754019408218</v>
      </c>
      <c r="L82">
        <f t="shared" si="10"/>
        <v>-1.0642108619507773</v>
      </c>
      <c r="M82">
        <f t="shared" si="11"/>
        <v>-2.3217679124108197</v>
      </c>
      <c r="N82">
        <f t="shared" si="12"/>
        <v>3.4312030182506081</v>
      </c>
      <c r="O82">
        <f t="shared" si="13"/>
        <v>-0.65005129329447353</v>
      </c>
      <c r="P82">
        <f t="shared" si="14"/>
        <v>-2.0850572804654717</v>
      </c>
    </row>
    <row r="83" spans="1:16">
      <c r="A83" s="12" t="s">
        <v>4551</v>
      </c>
      <c r="B83" s="5">
        <f>Volume!I40</f>
        <v>3.6603937896647529E-3</v>
      </c>
      <c r="C83" s="9">
        <f>ROA!D222</f>
        <v>4.19E-2</v>
      </c>
      <c r="D83" s="9">
        <f>Leverage!C235</f>
        <v>0.45839999999999997</v>
      </c>
      <c r="E83" s="9">
        <f>'Sales Growth'!C177</f>
        <v>0.23799999999999999</v>
      </c>
      <c r="F83" s="8">
        <f>LN(53500000000000)</f>
        <v>31.61070276983051</v>
      </c>
      <c r="G83" s="8">
        <f>DPR!H38</f>
        <v>0.3</v>
      </c>
      <c r="H83" s="8">
        <f>Investment!C194</f>
        <v>6.3E-3</v>
      </c>
      <c r="J83">
        <f t="shared" si="8"/>
        <v>3.6537108514757477E-3</v>
      </c>
      <c r="K83">
        <f t="shared" si="9"/>
        <v>-3.1724694520540448</v>
      </c>
      <c r="L83">
        <f t="shared" si="10"/>
        <v>-0.7800131135816073</v>
      </c>
      <c r="M83">
        <f t="shared" si="11"/>
        <v>-1.4354846053106625</v>
      </c>
      <c r="N83">
        <f t="shared" si="12"/>
        <v>3.4534957584963797</v>
      </c>
      <c r="O83">
        <f t="shared" si="13"/>
        <v>-1.2039728043259361</v>
      </c>
      <c r="P83">
        <f t="shared" si="14"/>
        <v>-5.0672056455846501</v>
      </c>
    </row>
    <row r="84" spans="1:16">
      <c r="A84" s="12"/>
      <c r="B84" s="5">
        <f>Volume!J40</f>
        <v>1.0058045670471528E-3</v>
      </c>
      <c r="C84" s="9">
        <f>ROA!E222</f>
        <v>3.32E-2</v>
      </c>
      <c r="D84" s="9">
        <f>Leverage!D235</f>
        <v>0.40329999999999999</v>
      </c>
      <c r="E84" s="9">
        <f>'Sales Growth'!D177</f>
        <v>0.3795</v>
      </c>
      <c r="F84" s="8">
        <f>LN(79190000000000)</f>
        <v>32.002871144150866</v>
      </c>
      <c r="G84" s="8">
        <f>DPR!I38</f>
        <v>0.75</v>
      </c>
      <c r="H84" s="8">
        <f>Investment!D194</f>
        <v>5.4999999999999997E-3</v>
      </c>
      <c r="J84">
        <f t="shared" si="8"/>
        <v>1.0052990845495931E-3</v>
      </c>
      <c r="K84">
        <f t="shared" si="9"/>
        <v>-3.4052054030596941</v>
      </c>
      <c r="L84">
        <f t="shared" si="10"/>
        <v>-0.90807457710281458</v>
      </c>
      <c r="M84">
        <f t="shared" si="11"/>
        <v>-0.96890068214645242</v>
      </c>
      <c r="N84">
        <f t="shared" si="12"/>
        <v>3.4658256220295507</v>
      </c>
      <c r="O84">
        <f t="shared" si="13"/>
        <v>-0.2876820724517809</v>
      </c>
      <c r="P84">
        <f t="shared" si="14"/>
        <v>-5.2030071867437115</v>
      </c>
    </row>
    <row r="85" spans="1:16">
      <c r="A85" s="12"/>
      <c r="B85" s="5">
        <f>Volume!K40</f>
        <v>3.2562348768786823E-3</v>
      </c>
      <c r="C85" s="9">
        <f>ROA!F222</f>
        <v>2.7300000000000001E-2</v>
      </c>
      <c r="D85" s="9">
        <f>Leverage!E235</f>
        <v>0.39979999999999999</v>
      </c>
      <c r="E85" s="9">
        <f>'Sales Growth'!E177</f>
        <v>0.36330000000000001</v>
      </c>
      <c r="F85" s="8">
        <f>LN(82420000000000)</f>
        <v>32.042849241839221</v>
      </c>
      <c r="G85" s="8">
        <f>DPR!J38</f>
        <v>0.71255500000000005</v>
      </c>
      <c r="H85" s="8">
        <f>Investment!E194</f>
        <v>2.7000000000000001E-3</v>
      </c>
      <c r="J85">
        <f t="shared" si="8"/>
        <v>3.2509448247494692E-3</v>
      </c>
      <c r="K85">
        <f t="shared" si="9"/>
        <v>-3.600868576791223</v>
      </c>
      <c r="L85">
        <f t="shared" si="10"/>
        <v>-0.91679085691583739</v>
      </c>
      <c r="M85">
        <f t="shared" si="11"/>
        <v>-1.0125263397549809</v>
      </c>
      <c r="N85">
        <f t="shared" si="12"/>
        <v>3.4670740458942455</v>
      </c>
      <c r="O85">
        <f t="shared" si="13"/>
        <v>-0.33889817683610018</v>
      </c>
      <c r="P85">
        <f t="shared" si="14"/>
        <v>-5.9145035059718536</v>
      </c>
    </row>
    <row r="86" spans="1:16">
      <c r="A86" s="12"/>
      <c r="B86" s="5">
        <f>Volume!L40</f>
        <v>2.2779865993396705E-2</v>
      </c>
      <c r="C86" s="9">
        <f>ROA!G222</f>
        <v>2.4199999999999999E-2</v>
      </c>
      <c r="D86" s="9">
        <f>Leverage!F235</f>
        <v>0.43059999999999998</v>
      </c>
      <c r="E86" s="9">
        <f>'Sales Growth'!F177</f>
        <v>0.32750000000000001</v>
      </c>
      <c r="F86" s="8">
        <f>LN(99680000000000)</f>
        <v>32.232986170967692</v>
      </c>
      <c r="G86" s="8">
        <f>DPR!K38</f>
        <v>0.90050699999999995</v>
      </c>
      <c r="H86" s="8">
        <f>Investment!F194</f>
        <v>3.3E-3</v>
      </c>
      <c r="J86">
        <f t="shared" si="8"/>
        <v>2.252427905673967E-2</v>
      </c>
      <c r="K86">
        <f t="shared" si="9"/>
        <v>-3.7214026458194964</v>
      </c>
      <c r="L86">
        <f t="shared" si="10"/>
        <v>-0.84257569405187449</v>
      </c>
      <c r="M86">
        <f t="shared" si="11"/>
        <v>-1.1162672239068303</v>
      </c>
      <c r="N86">
        <f t="shared" si="12"/>
        <v>3.4729903434425813</v>
      </c>
      <c r="O86">
        <f t="shared" si="13"/>
        <v>-0.10479734093715018</v>
      </c>
      <c r="P86">
        <f t="shared" si="14"/>
        <v>-5.7138328105097029</v>
      </c>
    </row>
    <row r="87" spans="1:16">
      <c r="A87" s="12" t="s">
        <v>4552</v>
      </c>
      <c r="B87" s="5">
        <f>Volume!I41</f>
        <v>1.2867903134364622E-3</v>
      </c>
      <c r="C87" s="9">
        <f>ROA!D224</f>
        <v>8.0100000000000005E-2</v>
      </c>
      <c r="D87" s="9">
        <f>Leverage!C237</f>
        <v>0.26150000000000001</v>
      </c>
      <c r="E87" s="9">
        <f>'Sales Growth'!C178</f>
        <v>0.1923</v>
      </c>
      <c r="F87" s="8">
        <f>LN(1050000000000)</f>
        <v>27.679811280097979</v>
      </c>
      <c r="G87" s="8">
        <f>DPR!H39</f>
        <v>0.65956899999999996</v>
      </c>
      <c r="H87" s="8">
        <f>Investment!C195</f>
        <v>3.2000000000000001E-2</v>
      </c>
      <c r="J87">
        <f t="shared" si="8"/>
        <v>1.2859631083312947E-3</v>
      </c>
      <c r="K87">
        <f t="shared" si="9"/>
        <v>-2.5244794249078235</v>
      </c>
      <c r="L87">
        <f t="shared" si="10"/>
        <v>-1.3413209954771594</v>
      </c>
      <c r="M87">
        <f t="shared" si="11"/>
        <v>-1.6486986263874031</v>
      </c>
      <c r="N87">
        <f t="shared" si="12"/>
        <v>3.3207033128106911</v>
      </c>
      <c r="O87">
        <f t="shared" si="13"/>
        <v>-0.41616868758185793</v>
      </c>
      <c r="P87">
        <f t="shared" si="14"/>
        <v>-3.4420193761824103</v>
      </c>
    </row>
    <row r="88" spans="1:16">
      <c r="A88" s="12"/>
      <c r="B88" s="5">
        <f>Volume!J41</f>
        <v>4.3195378094543881E-3</v>
      </c>
      <c r="C88" s="9">
        <f>ROA!E224</f>
        <v>7.4999999999999997E-2</v>
      </c>
      <c r="D88" s="9">
        <f>Leverage!D237</f>
        <v>0.21479999999999999</v>
      </c>
      <c r="E88" s="9">
        <f>'Sales Growth'!D178</f>
        <v>0.24840000000000001</v>
      </c>
      <c r="F88" s="8">
        <f>LN(1020000000000)</f>
        <v>27.650823743224727</v>
      </c>
      <c r="G88" s="8">
        <f>DPR!I39</f>
        <v>0.57554899999999998</v>
      </c>
      <c r="H88" s="8">
        <f>Investment!D195</f>
        <v>3.6499999999999998E-2</v>
      </c>
      <c r="J88">
        <f t="shared" si="8"/>
        <v>4.3102353845078144E-3</v>
      </c>
      <c r="K88">
        <f t="shared" si="9"/>
        <v>-2.5902671654458267</v>
      </c>
      <c r="L88">
        <f t="shared" si="10"/>
        <v>-1.5380479163474274</v>
      </c>
      <c r="M88">
        <f t="shared" si="11"/>
        <v>-1.3927149289228133</v>
      </c>
      <c r="N88">
        <f t="shared" si="12"/>
        <v>3.3196555193229398</v>
      </c>
      <c r="O88">
        <f t="shared" si="13"/>
        <v>-0.55243091109108378</v>
      </c>
      <c r="P88">
        <f t="shared" si="14"/>
        <v>-3.3104430183936913</v>
      </c>
    </row>
    <row r="89" spans="1:16">
      <c r="A89" s="12"/>
      <c r="B89" s="5">
        <f>Volume!K41</f>
        <v>1.0388488431737805E-2</v>
      </c>
      <c r="C89" s="9">
        <f>ROA!F224</f>
        <v>0.10680000000000001</v>
      </c>
      <c r="D89" s="9">
        <f>Leverage!E237</f>
        <v>0.15440000000000001</v>
      </c>
      <c r="E89" s="9">
        <f>'Sales Growth'!E178</f>
        <v>0.16930000000000001</v>
      </c>
      <c r="F89" s="8">
        <f>LN(1090000000000)</f>
        <v>27.717198812169599</v>
      </c>
      <c r="G89" s="8">
        <f>DPR!J39</f>
        <v>0.59087100000000004</v>
      </c>
      <c r="H89" s="8">
        <f>Investment!E195</f>
        <v>3.7600000000000001E-2</v>
      </c>
      <c r="J89">
        <f t="shared" si="8"/>
        <v>1.0334898909014826E-2</v>
      </c>
      <c r="K89">
        <f t="shared" si="9"/>
        <v>-2.2367973524560427</v>
      </c>
      <c r="L89">
        <f t="shared" si="10"/>
        <v>-1.8682086413914611</v>
      </c>
      <c r="M89">
        <f t="shared" si="11"/>
        <v>-1.7760829898430475</v>
      </c>
      <c r="N89">
        <f t="shared" si="12"/>
        <v>3.3220531162634743</v>
      </c>
      <c r="O89">
        <f t="shared" si="13"/>
        <v>-0.52615755951297483</v>
      </c>
      <c r="P89">
        <f t="shared" si="14"/>
        <v>-3.2807512285862881</v>
      </c>
    </row>
    <row r="90" spans="1:16">
      <c r="A90" s="12"/>
      <c r="B90" s="5">
        <f>Volume!L41</f>
        <v>3.1208660673307957E-4</v>
      </c>
      <c r="C90" s="9">
        <f>ROA!G224</f>
        <v>0.15</v>
      </c>
      <c r="D90" s="9">
        <f>Leverage!F237</f>
        <v>0.1154</v>
      </c>
      <c r="E90" s="9">
        <f>'Sales Growth'!F178</f>
        <v>0.1163</v>
      </c>
      <c r="F90" s="8">
        <f>LN(1150000000000)</f>
        <v>27.770783058303707</v>
      </c>
      <c r="G90" s="8">
        <f>DPR!K39</f>
        <v>0.65210299999999999</v>
      </c>
      <c r="H90" s="8">
        <f>Investment!F195</f>
        <v>8.5599999999999996E-2</v>
      </c>
      <c r="J90">
        <f t="shared" si="8"/>
        <v>3.1203791783777332E-4</v>
      </c>
      <c r="K90">
        <f t="shared" si="9"/>
        <v>-1.8971199848858813</v>
      </c>
      <c r="L90">
        <f t="shared" si="10"/>
        <v>-2.159350924908138</v>
      </c>
      <c r="M90">
        <f t="shared" si="11"/>
        <v>-2.1515822194575183</v>
      </c>
      <c r="N90">
        <f t="shared" si="12"/>
        <v>3.3239844989155243</v>
      </c>
      <c r="O90">
        <f t="shared" si="13"/>
        <v>-0.42755275407217042</v>
      </c>
      <c r="P90">
        <f t="shared" si="14"/>
        <v>-2.4580699958344407</v>
      </c>
    </row>
    <row r="91" spans="1:16">
      <c r="A91" s="12" t="s">
        <v>4553</v>
      </c>
      <c r="B91" s="5">
        <f>Volume!I42</f>
        <v>6.3497055126753152E-4</v>
      </c>
      <c r="C91" s="9">
        <f>ROA!D227</f>
        <v>0.1258</v>
      </c>
      <c r="D91" s="9">
        <f>Leverage!C240</f>
        <v>9.7000000000000003E-3</v>
      </c>
      <c r="E91" s="9">
        <f>'Sales Growth'!C180</f>
        <v>0.22339999999999999</v>
      </c>
      <c r="F91" s="8">
        <f>LN(8480000000000)</f>
        <v>29.768731565732359</v>
      </c>
      <c r="G91" s="8">
        <f>DPR!H40</f>
        <v>0.33423999999999998</v>
      </c>
      <c r="H91" s="8">
        <f>Investment!C197</f>
        <v>1.5E-3</v>
      </c>
      <c r="J91">
        <f t="shared" si="8"/>
        <v>6.3476904276390936E-4</v>
      </c>
      <c r="K91">
        <f t="shared" si="9"/>
        <v>-2.0730619347157968</v>
      </c>
      <c r="L91">
        <f t="shared" si="10"/>
        <v>-4.6356293934727999</v>
      </c>
      <c r="M91">
        <f t="shared" si="11"/>
        <v>-1.4987913923470368</v>
      </c>
      <c r="N91">
        <f t="shared" si="12"/>
        <v>3.3934585663178765</v>
      </c>
      <c r="O91">
        <f t="shared" si="13"/>
        <v>-1.0958959811738815</v>
      </c>
      <c r="P91">
        <f t="shared" si="14"/>
        <v>-6.5022901708739722</v>
      </c>
    </row>
    <row r="92" spans="1:16">
      <c r="A92" s="12"/>
      <c r="B92" s="5">
        <f>Volume!J42</f>
        <v>2.7802220627237673E-3</v>
      </c>
      <c r="C92" s="9">
        <f>ROA!E227</f>
        <v>0.1241</v>
      </c>
      <c r="D92" s="9">
        <f>Leverage!D240</f>
        <v>1.37E-2</v>
      </c>
      <c r="E92" s="9">
        <f>'Sales Growth'!D180</f>
        <v>0.17879999999999999</v>
      </c>
      <c r="F92" s="8">
        <f>LN(9470000000000)</f>
        <v>29.879150023126535</v>
      </c>
      <c r="G92" s="8">
        <f>DPR!I40</f>
        <v>0.273808</v>
      </c>
      <c r="H92" s="8">
        <f>Investment!D197</f>
        <v>4.7999999999999996E-3</v>
      </c>
      <c r="J92">
        <f t="shared" si="8"/>
        <v>2.7763643938280669E-3</v>
      </c>
      <c r="K92">
        <f t="shared" si="9"/>
        <v>-2.0866675867715756</v>
      </c>
      <c r="L92">
        <f t="shared" si="10"/>
        <v>-4.2903594461480576</v>
      </c>
      <c r="M92">
        <f t="shared" si="11"/>
        <v>-1.7214874162427234</v>
      </c>
      <c r="N92">
        <f t="shared" si="12"/>
        <v>3.3971609135121712</v>
      </c>
      <c r="O92">
        <f t="shared" si="13"/>
        <v>-1.2953281481470411</v>
      </c>
      <c r="P92">
        <f t="shared" si="14"/>
        <v>-5.339139361068292</v>
      </c>
    </row>
    <row r="93" spans="1:16">
      <c r="A93" s="12"/>
      <c r="B93" s="5">
        <f>Volume!K42</f>
        <v>5.5259785626864963E-3</v>
      </c>
      <c r="C93" s="9">
        <f>ROA!F227</f>
        <v>0.1032</v>
      </c>
      <c r="D93" s="9">
        <f>Leverage!E240</f>
        <v>2.5000000000000001E-3</v>
      </c>
      <c r="E93" s="9">
        <f>'Sales Growth'!E180</f>
        <v>0.13370000000000001</v>
      </c>
      <c r="F93" s="8">
        <f>LN(10540000000000)</f>
        <v>29.986198659041765</v>
      </c>
      <c r="G93" s="8">
        <f>DPR!J40</f>
        <v>0.46802200000000005</v>
      </c>
      <c r="H93" s="8">
        <f>Investment!E197</f>
        <v>2.3E-3</v>
      </c>
      <c r="J93">
        <f t="shared" si="8"/>
        <v>5.5107663589586903E-3</v>
      </c>
      <c r="K93">
        <f t="shared" si="9"/>
        <v>-2.2710864259346746</v>
      </c>
      <c r="L93">
        <f t="shared" si="10"/>
        <v>-5.9914645471079817</v>
      </c>
      <c r="M93">
        <f t="shared" si="11"/>
        <v>-2.0121567948742394</v>
      </c>
      <c r="N93">
        <f t="shared" si="12"/>
        <v>3.4007372311105191</v>
      </c>
      <c r="O93">
        <f t="shared" si="13"/>
        <v>-0.75923997562234879</v>
      </c>
      <c r="P93">
        <f t="shared" si="14"/>
        <v>-6.074846156047033</v>
      </c>
    </row>
    <row r="94" spans="1:16">
      <c r="A94" s="12"/>
      <c r="B94" s="5">
        <f>Volume!L42</f>
        <v>1.41653462947868E-4</v>
      </c>
      <c r="C94" s="9">
        <f>ROA!G227</f>
        <v>9.3700000000000006E-2</v>
      </c>
      <c r="D94" s="9">
        <f>Leverage!F240</f>
        <v>1.9E-3</v>
      </c>
      <c r="E94" s="9">
        <f>'Sales Growth'!F180</f>
        <v>4.7300000000000002E-2</v>
      </c>
      <c r="F94" s="8">
        <f>LN(11160000000000)</f>
        <v>30.043357072881712</v>
      </c>
      <c r="G94" s="8">
        <f>DPR!K40</f>
        <v>0.44087600000000005</v>
      </c>
      <c r="H94" s="8">
        <f>Investment!F197</f>
        <v>2.8999999999999998E-3</v>
      </c>
      <c r="J94">
        <f t="shared" si="8"/>
        <v>1.4164343104349717E-4</v>
      </c>
      <c r="K94">
        <f t="shared" si="9"/>
        <v>-2.3676570897377607</v>
      </c>
      <c r="L94">
        <f t="shared" si="10"/>
        <v>-6.2659013928097425</v>
      </c>
      <c r="M94">
        <f t="shared" si="11"/>
        <v>-3.0512449834842497</v>
      </c>
      <c r="N94">
        <f t="shared" si="12"/>
        <v>3.4026415740768092</v>
      </c>
      <c r="O94">
        <f t="shared" si="13"/>
        <v>-0.8189916222118786</v>
      </c>
      <c r="P94">
        <f t="shared" si="14"/>
        <v>-5.843044541989709</v>
      </c>
    </row>
    <row r="95" spans="1:16">
      <c r="A95" s="12" t="s">
        <v>4554</v>
      </c>
      <c r="B95" s="5">
        <f>Volume!I43</f>
        <v>4.2335002293676901E-3</v>
      </c>
      <c r="C95" s="9">
        <f>ROA!D231</f>
        <v>3.2800000000000003E-2</v>
      </c>
      <c r="D95" s="9">
        <f>Leverage!C244</f>
        <v>9.2799999999999994E-2</v>
      </c>
      <c r="E95" s="9">
        <f>'Sales Growth'!C182</f>
        <v>3.1E-2</v>
      </c>
      <c r="F95" s="8">
        <f>LN(639090000000)</f>
        <v>27.183311126476632</v>
      </c>
      <c r="G95" s="8">
        <f>DPR!H41</f>
        <v>0.26040100000000005</v>
      </c>
      <c r="H95" s="8">
        <f>Investment!C201</f>
        <v>8.5000000000000006E-3</v>
      </c>
      <c r="J95">
        <f t="shared" si="8"/>
        <v>4.2245641789085018E-3</v>
      </c>
      <c r="K95">
        <f t="shared" si="9"/>
        <v>-3.417326763592039</v>
      </c>
      <c r="L95">
        <f t="shared" si="10"/>
        <v>-2.377308639189982</v>
      </c>
      <c r="M95">
        <f t="shared" si="11"/>
        <v>-3.473768074496991</v>
      </c>
      <c r="N95">
        <f t="shared" si="12"/>
        <v>3.3026032234694549</v>
      </c>
      <c r="O95">
        <f t="shared" si="13"/>
        <v>-1.3455325284093207</v>
      </c>
      <c r="P95">
        <f t="shared" si="14"/>
        <v>-4.767689115485866</v>
      </c>
    </row>
    <row r="96" spans="1:16">
      <c r="A96" s="12"/>
      <c r="B96" s="5">
        <f>Volume!J43</f>
        <v>3.9208152158996899E-3</v>
      </c>
      <c r="C96" s="9">
        <f>ROA!E231</f>
        <v>4.7E-2</v>
      </c>
      <c r="D96" s="9">
        <f>Leverage!D244</f>
        <v>0.1052</v>
      </c>
      <c r="E96" s="9">
        <f>'Sales Growth'!D182</f>
        <v>4.1300000000000003E-2</v>
      </c>
      <c r="F96" s="8">
        <f>LN(1240000000000)</f>
        <v>27.846132495545493</v>
      </c>
      <c r="G96" s="8">
        <f>DPR!I41</f>
        <v>0.16467799999999999</v>
      </c>
      <c r="H96" s="8">
        <f>Investment!D201</f>
        <v>2.5999999999999999E-3</v>
      </c>
      <c r="J96">
        <f t="shared" si="8"/>
        <v>3.9131488523172176E-3</v>
      </c>
      <c r="K96">
        <f t="shared" si="9"/>
        <v>-3.0576076772720784</v>
      </c>
      <c r="L96">
        <f t="shared" si="10"/>
        <v>-2.2518919786785276</v>
      </c>
      <c r="M96">
        <f t="shared" si="11"/>
        <v>-3.18689277901515</v>
      </c>
      <c r="N96">
        <f t="shared" si="12"/>
        <v>3.3266940876293862</v>
      </c>
      <c r="O96">
        <f t="shared" si="13"/>
        <v>-1.8037632269197874</v>
      </c>
      <c r="P96">
        <f t="shared" si="14"/>
        <v>-5.952243833954701</v>
      </c>
    </row>
    <row r="97" spans="1:16">
      <c r="A97" s="12"/>
      <c r="B97" s="5">
        <f>Volume!K43</f>
        <v>2.9303192719830305E-3</v>
      </c>
      <c r="C97" s="9">
        <f>ROA!F231</f>
        <v>3.2099999999999997E-2</v>
      </c>
      <c r="D97" s="9">
        <f>Leverage!E244</f>
        <v>2.3099999999999999E-2</v>
      </c>
      <c r="E97" s="9">
        <f>'Sales Growth'!E182</f>
        <v>4.3400000000000001E-2</v>
      </c>
      <c r="F97" s="8">
        <f>LN(1300000000000)</f>
        <v>27.89338538039604</v>
      </c>
      <c r="G97" s="8">
        <f>DPR!J41</f>
        <v>0.17625099999999999</v>
      </c>
      <c r="H97" s="8">
        <f>Investment!E201</f>
        <v>1.9599999999999999E-2</v>
      </c>
      <c r="J97">
        <f t="shared" si="8"/>
        <v>2.9260342554019042E-3</v>
      </c>
      <c r="K97">
        <f t="shared" si="9"/>
        <v>-3.4388992488461669</v>
      </c>
      <c r="L97">
        <f t="shared" si="10"/>
        <v>-3.767922661454389</v>
      </c>
      <c r="M97">
        <f t="shared" si="11"/>
        <v>-3.137295837875778</v>
      </c>
      <c r="N97">
        <f t="shared" si="12"/>
        <v>3.3283895775787427</v>
      </c>
      <c r="O97">
        <f t="shared" si="13"/>
        <v>-1.7358461635469895</v>
      </c>
      <c r="P97">
        <f t="shared" si="14"/>
        <v>-3.9322257127456655</v>
      </c>
    </row>
    <row r="98" spans="1:16">
      <c r="A98" s="12"/>
      <c r="B98" s="5">
        <f>Volume!L43</f>
        <v>3.479723504110975E-5</v>
      </c>
      <c r="C98" s="9">
        <f>ROA!G231</f>
        <v>2.9899999999999999E-2</v>
      </c>
      <c r="D98" s="9">
        <f>Leverage!F244</f>
        <v>0.1168</v>
      </c>
      <c r="E98" s="9">
        <f>'Sales Growth'!F182</f>
        <v>5.0200000000000002E-2</v>
      </c>
      <c r="F98" s="8">
        <f>LN(1280000000000)</f>
        <v>27.877881193860073</v>
      </c>
      <c r="G98" s="8">
        <f>DPR!K41</f>
        <v>0.19914300000000001</v>
      </c>
      <c r="H98" s="8">
        <f>Investment!F201</f>
        <v>2.24E-2</v>
      </c>
      <c r="J98">
        <f t="shared" si="8"/>
        <v>3.479662963144513E-5</v>
      </c>
      <c r="K98">
        <f t="shared" si="9"/>
        <v>-3.5098967985854963</v>
      </c>
      <c r="L98">
        <f t="shared" si="10"/>
        <v>-2.1472922085880102</v>
      </c>
      <c r="M98">
        <f t="shared" si="11"/>
        <v>-2.9917402522844534</v>
      </c>
      <c r="N98">
        <f t="shared" si="12"/>
        <v>3.3278335856535919</v>
      </c>
      <c r="O98">
        <f t="shared" si="13"/>
        <v>-1.6137321193571237</v>
      </c>
      <c r="P98">
        <f t="shared" si="14"/>
        <v>-3.7986943201211427</v>
      </c>
    </row>
    <row r="99" spans="1:16">
      <c r="A99" s="12" t="s">
        <v>4555</v>
      </c>
      <c r="B99" s="5">
        <f>Volume!I44</f>
        <v>3.8790653812735353E-4</v>
      </c>
      <c r="C99" s="9">
        <f>ROA!D232</f>
        <v>0.159</v>
      </c>
      <c r="D99" s="9">
        <f>Leverage!C245</f>
        <v>1.8599999999999998E-2</v>
      </c>
      <c r="E99" s="9">
        <f>'Sales Growth'!C183</f>
        <v>0.12429999999999999</v>
      </c>
      <c r="F99" s="8">
        <f>LN(15230000000000)</f>
        <v>30.354288282835618</v>
      </c>
      <c r="G99" s="8">
        <f>DPR!H42</f>
        <v>0.44842200000000004</v>
      </c>
      <c r="H99" s="8">
        <f>Investment!C202</f>
        <v>7.1900000000000006E-2</v>
      </c>
      <c r="J99">
        <f t="shared" si="8"/>
        <v>3.8783132183684037E-4</v>
      </c>
      <c r="K99">
        <f t="shared" si="9"/>
        <v>-1.8388510767619055</v>
      </c>
      <c r="L99">
        <f t="shared" si="10"/>
        <v>-3.9845936982629815</v>
      </c>
      <c r="M99">
        <f t="shared" si="11"/>
        <v>-2.0850572804654717</v>
      </c>
      <c r="N99">
        <f t="shared" si="12"/>
        <v>3.412937801851772</v>
      </c>
      <c r="O99">
        <f t="shared" si="13"/>
        <v>-0.80202052565139137</v>
      </c>
      <c r="P99">
        <f t="shared" si="14"/>
        <v>-2.6324790142551358</v>
      </c>
    </row>
    <row r="100" spans="1:16">
      <c r="A100" s="12"/>
      <c r="B100" s="5">
        <f>Volume!J44</f>
        <v>1.1223893927330615E-3</v>
      </c>
      <c r="C100" s="9">
        <f>ROA!E232</f>
        <v>0.151</v>
      </c>
      <c r="D100" s="9">
        <f>Leverage!D245</f>
        <v>1.9199999999999998E-2</v>
      </c>
      <c r="E100" s="9">
        <f>'Sales Growth'!D183</f>
        <v>8.2699999999999996E-2</v>
      </c>
      <c r="F100" s="8">
        <f>LN(16620000000000)</f>
        <v>30.441627905355851</v>
      </c>
      <c r="G100" s="8">
        <f>DPR!I42</f>
        <v>0.48754999999999998</v>
      </c>
      <c r="H100" s="8">
        <f>Investment!D202</f>
        <v>7.3099999999999998E-2</v>
      </c>
      <c r="J100">
        <f t="shared" si="8"/>
        <v>1.1217599846751493E-3</v>
      </c>
      <c r="K100">
        <f t="shared" si="9"/>
        <v>-1.8904754421672127</v>
      </c>
      <c r="L100">
        <f t="shared" si="10"/>
        <v>-3.9528449999484012</v>
      </c>
      <c r="M100">
        <f t="shared" si="11"/>
        <v>-2.4925356769524916</v>
      </c>
      <c r="N100">
        <f t="shared" si="12"/>
        <v>3.4158110107145068</v>
      </c>
      <c r="O100">
        <f t="shared" si="13"/>
        <v>-0.71836242970100905</v>
      </c>
      <c r="P100">
        <f t="shared" si="14"/>
        <v>-2.6159269122264042</v>
      </c>
    </row>
    <row r="101" spans="1:16">
      <c r="A101" s="12"/>
      <c r="B101" s="5">
        <f>Volume!K44</f>
        <v>1.4121988987537543E-3</v>
      </c>
      <c r="C101" s="9">
        <f>ROA!F232</f>
        <v>0.1414</v>
      </c>
      <c r="D101" s="9">
        <f>Leverage!E245</f>
        <v>1.9699999999999999E-2</v>
      </c>
      <c r="E101" s="9">
        <f>'Sales Growth'!E183</f>
        <v>5.6899999999999999E-2</v>
      </c>
      <c r="F101" s="8">
        <f>LN(18150000000000)</f>
        <v>30.529691676639409</v>
      </c>
      <c r="G101" s="8">
        <f>DPR!J42</f>
        <v>0.49600699999999998</v>
      </c>
      <c r="H101" s="8">
        <f>Investment!E202</f>
        <v>7.5200000000000003E-2</v>
      </c>
      <c r="J101">
        <f t="shared" si="8"/>
        <v>1.4112026836810977E-3</v>
      </c>
      <c r="K101">
        <f t="shared" si="9"/>
        <v>-1.9561625255196646</v>
      </c>
      <c r="L101">
        <f t="shared" si="10"/>
        <v>-3.9271366432381942</v>
      </c>
      <c r="M101">
        <f t="shared" si="11"/>
        <v>-2.8664599378498519</v>
      </c>
      <c r="N101">
        <f t="shared" si="12"/>
        <v>3.4186997076666201</v>
      </c>
      <c r="O101">
        <f t="shared" si="13"/>
        <v>-0.7011652394535699</v>
      </c>
      <c r="P101">
        <f t="shared" si="14"/>
        <v>-2.5876040480263427</v>
      </c>
    </row>
    <row r="102" spans="1:16">
      <c r="A102" s="12"/>
      <c r="B102" s="5">
        <f>Volume!L44</f>
        <v>2.7482107624195945E-3</v>
      </c>
      <c r="C102" s="9">
        <f>ROA!G232</f>
        <v>0.1305</v>
      </c>
      <c r="D102" s="9">
        <f>Leverage!F245</f>
        <v>4.0300000000000002E-2</v>
      </c>
      <c r="E102" s="9">
        <f>'Sales Growth'!F183</f>
        <v>5.4600000000000003E-2</v>
      </c>
      <c r="F102" s="8">
        <f>LN(20260000000000)</f>
        <v>30.639669614749085</v>
      </c>
      <c r="G102" s="8">
        <f>DPR!K42</f>
        <v>0.37398899999999996</v>
      </c>
      <c r="H102" s="8">
        <f>Investment!F202</f>
        <v>9.0300000000000005E-2</v>
      </c>
      <c r="J102">
        <f t="shared" si="8"/>
        <v>2.7444413357621137E-3</v>
      </c>
      <c r="K102">
        <f t="shared" si="9"/>
        <v>-2.0363820522193889</v>
      </c>
      <c r="L102">
        <f t="shared" si="10"/>
        <v>-3.2114038100294997</v>
      </c>
      <c r="M102">
        <f t="shared" si="11"/>
        <v>-2.9077213962312776</v>
      </c>
      <c r="N102">
        <f t="shared" si="12"/>
        <v>3.4222955620058055</v>
      </c>
      <c r="O102">
        <f t="shared" si="13"/>
        <v>-0.98352889376484554</v>
      </c>
      <c r="P102">
        <f t="shared" si="14"/>
        <v>-2.4046178185591973</v>
      </c>
    </row>
    <row r="103" spans="1:16">
      <c r="A103" s="12" t="s">
        <v>4556</v>
      </c>
      <c r="B103" s="5">
        <f>Volume!I45</f>
        <v>4.0971097991843314E-2</v>
      </c>
      <c r="C103" s="9">
        <f>ROA!D242</f>
        <v>0.1953</v>
      </c>
      <c r="D103" s="9">
        <f>Leverage!C255</f>
        <v>7.6200000000000004E-2</v>
      </c>
      <c r="E103" s="9">
        <f>'Sales Growth'!C189</f>
        <v>9.3100000000000002E-2</v>
      </c>
      <c r="F103" s="8">
        <f>LN(1870000000000)</f>
        <v>28.256959546795045</v>
      </c>
      <c r="G103" s="8">
        <f>DPR!H43</f>
        <v>0.17604300000000001</v>
      </c>
      <c r="H103" s="8">
        <f>Investment!C210</f>
        <v>8.3500000000000005E-2</v>
      </c>
      <c r="J103">
        <f t="shared" si="8"/>
        <v>4.015402555081711E-2</v>
      </c>
      <c r="K103">
        <f t="shared" si="9"/>
        <v>-1.6332184410995039</v>
      </c>
      <c r="L103">
        <f t="shared" si="10"/>
        <v>-2.5743938162895366</v>
      </c>
      <c r="M103">
        <f t="shared" si="11"/>
        <v>-2.3740810946991155</v>
      </c>
      <c r="N103">
        <f t="shared" si="12"/>
        <v>3.3413397828906453</v>
      </c>
      <c r="O103">
        <f t="shared" si="13"/>
        <v>-1.7370269956029938</v>
      </c>
      <c r="P103">
        <f t="shared" si="14"/>
        <v>-2.4829086471253272</v>
      </c>
    </row>
    <row r="104" spans="1:16">
      <c r="A104" s="12"/>
      <c r="B104" s="5">
        <f>Volume!J45</f>
        <v>1.6692660464372035E-3</v>
      </c>
      <c r="C104" s="9">
        <f>ROA!E242</f>
        <v>0.14799999999999999</v>
      </c>
      <c r="D104" s="9">
        <f>Leverage!D255</f>
        <v>2.9100000000000001E-2</v>
      </c>
      <c r="E104" s="9">
        <f>'Sales Growth'!D189</f>
        <v>7.2900000000000006E-2</v>
      </c>
      <c r="F104" s="8">
        <f>LN(3010000000000)</f>
        <v>28.732961194689331</v>
      </c>
      <c r="G104" s="8">
        <f>DPR!I43</f>
        <v>0.14075799999999999</v>
      </c>
      <c r="H104" s="8">
        <f>Investment!D210</f>
        <v>3.3000000000000002E-2</v>
      </c>
      <c r="J104">
        <f t="shared" si="8"/>
        <v>1.6678743703735083E-3</v>
      </c>
      <c r="K104">
        <f t="shared" si="9"/>
        <v>-1.9105430052180221</v>
      </c>
      <c r="L104">
        <f t="shared" si="10"/>
        <v>-3.5370171048046903</v>
      </c>
      <c r="M104">
        <f t="shared" si="11"/>
        <v>-2.6186666399675245</v>
      </c>
      <c r="N104">
        <f t="shared" si="12"/>
        <v>3.3580449374567385</v>
      </c>
      <c r="O104">
        <f t="shared" si="13"/>
        <v>-1.9607131752116791</v>
      </c>
      <c r="P104">
        <f t="shared" si="14"/>
        <v>-3.4112477175156566</v>
      </c>
    </row>
    <row r="105" spans="1:16">
      <c r="A105" s="12"/>
      <c r="B105" s="5">
        <f>Volume!K45</f>
        <v>2.7374975430181712E-2</v>
      </c>
      <c r="C105" s="9">
        <f>ROA!F242</f>
        <v>8.0100000000000005E-2</v>
      </c>
      <c r="D105" s="9">
        <f>Leverage!E255</f>
        <v>6.9699999999999998E-2</v>
      </c>
      <c r="E105" s="9">
        <f>'Sales Growth'!E189</f>
        <v>0.11269999999999999</v>
      </c>
      <c r="F105" s="8">
        <f>LN(3240000000000)</f>
        <v>28.806594445732784</v>
      </c>
      <c r="G105" s="8">
        <f>DPR!J43</f>
        <v>0.19073399999999999</v>
      </c>
      <c r="H105" s="8">
        <f>Investment!E210</f>
        <v>8.3000000000000004E-2</v>
      </c>
      <c r="J105">
        <f t="shared" si="8"/>
        <v>2.7006981571385487E-2</v>
      </c>
      <c r="K105">
        <f t="shared" si="9"/>
        <v>-2.5244794249078235</v>
      </c>
      <c r="L105">
        <f t="shared" si="10"/>
        <v>-2.663554961215659</v>
      </c>
      <c r="M105">
        <f t="shared" si="11"/>
        <v>-2.1830258579364066</v>
      </c>
      <c r="N105">
        <f t="shared" si="12"/>
        <v>3.3606043347415646</v>
      </c>
      <c r="O105">
        <f t="shared" si="13"/>
        <v>-1.6568754917589752</v>
      </c>
      <c r="P105">
        <f t="shared" si="14"/>
        <v>-2.488914671185539</v>
      </c>
    </row>
    <row r="106" spans="1:16">
      <c r="A106" s="12"/>
      <c r="B106" s="5">
        <f>Volume!L45</f>
        <v>5.086816650385561E-4</v>
      </c>
      <c r="C106" s="9">
        <f>ROA!G242</f>
        <v>0.1229</v>
      </c>
      <c r="D106" s="9">
        <f>Leverage!F255</f>
        <v>3.7400000000000003E-2</v>
      </c>
      <c r="E106" s="9">
        <f>'Sales Growth'!F189</f>
        <v>0.1396</v>
      </c>
      <c r="F106" s="8">
        <f>LN(3560000000000)</f>
        <v>28.900781660792486</v>
      </c>
      <c r="G106" s="8">
        <f>DPR!K43</f>
        <v>0.19242100000000001</v>
      </c>
      <c r="H106" s="8">
        <f>Investment!F210</f>
        <v>1.8700000000000001E-2</v>
      </c>
      <c r="J106">
        <f t="shared" si="8"/>
        <v>5.0855233037867202E-4</v>
      </c>
      <c r="K106">
        <f t="shared" si="9"/>
        <v>-2.0963842624101479</v>
      </c>
      <c r="L106">
        <f t="shared" si="10"/>
        <v>-3.2860845745616509</v>
      </c>
      <c r="M106">
        <f t="shared" si="11"/>
        <v>-1.9689740886538649</v>
      </c>
      <c r="N106">
        <f t="shared" si="12"/>
        <v>3.3638686418388657</v>
      </c>
      <c r="O106">
        <f t="shared" si="13"/>
        <v>-1.6480695990975502</v>
      </c>
      <c r="P106">
        <f t="shared" si="14"/>
        <v>-3.9792317551215959</v>
      </c>
    </row>
    <row r="107" spans="1:16">
      <c r="A107" s="12" t="s">
        <v>4557</v>
      </c>
      <c r="B107" s="5">
        <f>Volume!I46</f>
        <v>2.0351851059844765E-3</v>
      </c>
      <c r="C107" s="9">
        <f>ROA!D247</f>
        <v>1.09E-2</v>
      </c>
      <c r="D107" s="9">
        <f>Leverage!C260</f>
        <v>0.4219</v>
      </c>
      <c r="E107" s="9">
        <f>'Sales Growth'!C194</f>
        <v>3.3500000000000002E-2</v>
      </c>
      <c r="F107" s="8">
        <f>LN(5660000000000)</f>
        <v>29.36444500814364</v>
      </c>
      <c r="G107" s="8">
        <f>DPR!H44</f>
        <v>0.302039</v>
      </c>
      <c r="H107" s="8">
        <f>Investment!C215</f>
        <v>7.7399999999999997E-2</v>
      </c>
      <c r="J107">
        <f t="shared" si="8"/>
        <v>2.0331169223923072E-3</v>
      </c>
      <c r="K107">
        <f t="shared" si="9"/>
        <v>-4.5189924897470393</v>
      </c>
      <c r="L107">
        <f t="shared" si="10"/>
        <v>-0.86298695985184404</v>
      </c>
      <c r="M107">
        <f t="shared" si="11"/>
        <v>-3.396209840151116</v>
      </c>
      <c r="N107">
        <f t="shared" si="12"/>
        <v>3.3797845890221234</v>
      </c>
      <c r="O107">
        <f t="shared" si="13"/>
        <v>-1.1971991308721519</v>
      </c>
      <c r="P107">
        <f t="shared" si="14"/>
        <v>-2.5587684983864558</v>
      </c>
    </row>
    <row r="108" spans="1:16">
      <c r="A108" s="12"/>
      <c r="B108" s="5">
        <f>Volume!J46</f>
        <v>8.7011537139916026E-5</v>
      </c>
      <c r="C108" s="9">
        <f>ROA!E247</f>
        <v>2.6200000000000001E-2</v>
      </c>
      <c r="D108" s="9">
        <f>Leverage!D260</f>
        <v>0.3175</v>
      </c>
      <c r="E108" s="9">
        <f>'Sales Growth'!D194</f>
        <v>1.3599999999999999E-2</v>
      </c>
      <c r="F108" s="8">
        <f>LN(5770000000000)</f>
        <v>29.383693196448558</v>
      </c>
      <c r="G108" s="8">
        <f>DPR!I44</f>
        <v>0.30273800000000001</v>
      </c>
      <c r="H108" s="8">
        <f>Investment!D215</f>
        <v>2.8400000000000002E-2</v>
      </c>
      <c r="J108">
        <f t="shared" si="8"/>
        <v>8.7007751855634611E-5</v>
      </c>
      <c r="K108">
        <f t="shared" si="9"/>
        <v>-3.6419958682150857</v>
      </c>
      <c r="L108">
        <f t="shared" si="10"/>
        <v>-1.1472774606493907</v>
      </c>
      <c r="M108">
        <f t="shared" si="11"/>
        <v>-4.2976854862401304</v>
      </c>
      <c r="N108">
        <f t="shared" si="12"/>
        <v>3.3804398672856362</v>
      </c>
      <c r="O108">
        <f t="shared" si="13"/>
        <v>-1.1948875339984029</v>
      </c>
      <c r="P108">
        <f t="shared" si="14"/>
        <v>-3.5613661338149765</v>
      </c>
    </row>
    <row r="109" spans="1:16">
      <c r="A109" s="12"/>
      <c r="B109" s="5">
        <f>Volume!K46</f>
        <v>5.5598897460590411E-4</v>
      </c>
      <c r="C109" s="9">
        <f>ROA!F247</f>
        <v>3.3099999999999997E-2</v>
      </c>
      <c r="D109" s="9">
        <f>Leverage!E260</f>
        <v>0.40770000000000001</v>
      </c>
      <c r="E109" s="9">
        <f>'Sales Growth'!E194</f>
        <v>4.36E-2</v>
      </c>
      <c r="F109" s="8">
        <f>LN(6320000000000)</f>
        <v>29.474740324087314</v>
      </c>
      <c r="G109" s="8">
        <f>DPR!J44</f>
        <v>0.23011300000000001</v>
      </c>
      <c r="H109" s="8">
        <f>Investment!E215</f>
        <v>2.06E-2</v>
      </c>
      <c r="J109">
        <f t="shared" si="8"/>
        <v>5.5583447000182441E-4</v>
      </c>
      <c r="K109">
        <f t="shared" si="9"/>
        <v>-3.4082219965991198</v>
      </c>
      <c r="L109">
        <f t="shared" si="10"/>
        <v>-0.8972236691569293</v>
      </c>
      <c r="M109">
        <f t="shared" si="11"/>
        <v>-3.1326981286271485</v>
      </c>
      <c r="N109">
        <f t="shared" si="12"/>
        <v>3.3835336363451796</v>
      </c>
      <c r="O109">
        <f t="shared" si="13"/>
        <v>-1.4691847863615808</v>
      </c>
      <c r="P109">
        <f t="shared" si="14"/>
        <v>-3.8824642031866015</v>
      </c>
    </row>
    <row r="110" spans="1:16">
      <c r="A110" s="12"/>
      <c r="B110" s="5">
        <f>Volume!L46</f>
        <v>1.2674188986109124E-3</v>
      </c>
      <c r="C110" s="9">
        <f>ROA!G247</f>
        <v>2.9600000000000001E-2</v>
      </c>
      <c r="D110" s="9">
        <f>Leverage!F260</f>
        <v>0.31140000000000001</v>
      </c>
      <c r="E110" s="9">
        <f>'Sales Growth'!F194</f>
        <v>2.29E-2</v>
      </c>
      <c r="F110" s="8">
        <f>LN(5860000000000)</f>
        <v>29.399170719517471</v>
      </c>
      <c r="G110" s="8">
        <f>DPR!K44</f>
        <v>0.46807200000000004</v>
      </c>
      <c r="H110" s="8">
        <f>Investment!F215</f>
        <v>2.8400000000000002E-2</v>
      </c>
      <c r="J110">
        <f t="shared" si="8"/>
        <v>1.2666164012738318E-3</v>
      </c>
      <c r="K110">
        <f t="shared" si="9"/>
        <v>-3.5199809176521222</v>
      </c>
      <c r="L110">
        <f t="shared" si="10"/>
        <v>-1.1666770195822391</v>
      </c>
      <c r="M110">
        <f t="shared" si="11"/>
        <v>-3.7766183684219432</v>
      </c>
      <c r="N110">
        <f t="shared" si="12"/>
        <v>3.3809664671276827</v>
      </c>
      <c r="O110">
        <f t="shared" si="13"/>
        <v>-0.75913314874374993</v>
      </c>
      <c r="P110">
        <f t="shared" si="14"/>
        <v>-3.5613661338149765</v>
      </c>
    </row>
    <row r="111" spans="1:16">
      <c r="A111" s="12" t="s">
        <v>4559</v>
      </c>
      <c r="B111" s="5">
        <f>Volume!I48</f>
        <v>1.6090791733412487E-3</v>
      </c>
      <c r="C111" s="9">
        <f>ROA!D262</f>
        <v>5.4300000000000001E-2</v>
      </c>
      <c r="D111" s="9">
        <f>Leverage!C275</f>
        <v>0.43109999999999998</v>
      </c>
      <c r="E111" s="9">
        <f>'Sales Growth'!C204</f>
        <v>0.15090000000000001</v>
      </c>
      <c r="F111" s="8">
        <f>LN(3830000000000)</f>
        <v>28.973885919121102</v>
      </c>
      <c r="G111">
        <f>DPR!H46</f>
        <v>0.40568000000000004</v>
      </c>
      <c r="H111" s="8">
        <f>Investment!C227</f>
        <v>7.2499999999999995E-2</v>
      </c>
      <c r="J111">
        <f t="shared" si="8"/>
        <v>1.607785992482553E-3</v>
      </c>
      <c r="K111">
        <f t="shared" si="9"/>
        <v>-2.9132310520422471</v>
      </c>
      <c r="L111">
        <f t="shared" si="10"/>
        <v>-0.84141519722904812</v>
      </c>
      <c r="M111">
        <f t="shared" si="11"/>
        <v>-1.8911379132083337</v>
      </c>
      <c r="N111">
        <f t="shared" si="12"/>
        <v>3.366394938758257</v>
      </c>
      <c r="O111">
        <f t="shared" si="13"/>
        <v>-0.90219060749537328</v>
      </c>
      <c r="P111">
        <f t="shared" si="14"/>
        <v>-2.624168717121508</v>
      </c>
    </row>
    <row r="112" spans="1:16">
      <c r="A112" s="12"/>
      <c r="B112" s="5">
        <f>Volume!J48</f>
        <v>2.6994420342238055E-3</v>
      </c>
      <c r="C112" s="9">
        <f>ROA!E262</f>
        <v>1.0999999999999999E-2</v>
      </c>
      <c r="D112" s="9">
        <f>Leverage!D275</f>
        <v>0.45979999999999999</v>
      </c>
      <c r="E112" s="9">
        <f>'Sales Growth'!D204</f>
        <v>0.10440000000000001</v>
      </c>
      <c r="F112" s="8">
        <f>LN(4010000000000)</f>
        <v>29.019812357247027</v>
      </c>
      <c r="G112">
        <f>DPR!I46</f>
        <v>0.72909999999999997</v>
      </c>
      <c r="H112" s="8">
        <f>Investment!D227</f>
        <v>8.8499999999999995E-2</v>
      </c>
      <c r="J112">
        <f t="shared" si="8"/>
        <v>2.6958050842626584E-3</v>
      </c>
      <c r="K112">
        <f t="shared" si="9"/>
        <v>-4.5098600061837661</v>
      </c>
      <c r="L112">
        <f t="shared" si="10"/>
        <v>-0.77696366665305594</v>
      </c>
      <c r="M112">
        <f t="shared" si="11"/>
        <v>-2.2595256035335987</v>
      </c>
      <c r="N112">
        <f t="shared" si="12"/>
        <v>3.3679787814546764</v>
      </c>
      <c r="O112">
        <f t="shared" si="13"/>
        <v>-0.31594438216975246</v>
      </c>
      <c r="P112">
        <f t="shared" si="14"/>
        <v>-2.4247527269682534</v>
      </c>
    </row>
    <row r="113" spans="1:16">
      <c r="A113" s="12"/>
      <c r="B113" s="5">
        <f>Volume!K48</f>
        <v>5.7058794370456129E-3</v>
      </c>
      <c r="C113" s="9">
        <f>ROA!F262</f>
        <v>6.83E-2</v>
      </c>
      <c r="D113" s="9">
        <f>Leverage!E275</f>
        <v>0.39169999999999999</v>
      </c>
      <c r="E113" s="9">
        <f>'Sales Growth'!E204</f>
        <v>0.10050000000000001</v>
      </c>
      <c r="F113" s="8">
        <f>LN(4340000000000)</f>
        <v>29.098895464040861</v>
      </c>
      <c r="G113">
        <f>DPR!J46</f>
        <v>0.74902200000000008</v>
      </c>
      <c r="H113" s="8">
        <f>Investment!E227</f>
        <v>7.7299999999999994E-2</v>
      </c>
      <c r="J113">
        <f t="shared" si="8"/>
        <v>5.6896625654040038E-3</v>
      </c>
      <c r="K113">
        <f t="shared" si="9"/>
        <v>-2.6838455124053926</v>
      </c>
      <c r="L113">
        <f t="shared" si="10"/>
        <v>-0.9372590383103514</v>
      </c>
      <c r="M113">
        <f t="shared" si="11"/>
        <v>-2.2975975514830065</v>
      </c>
      <c r="N113">
        <f t="shared" si="12"/>
        <v>3.3707002168949085</v>
      </c>
      <c r="O113">
        <f t="shared" si="13"/>
        <v>-0.28898692339961857</v>
      </c>
      <c r="P113">
        <f t="shared" si="14"/>
        <v>-2.5600613233887608</v>
      </c>
    </row>
    <row r="114" spans="1:16">
      <c r="A114" s="12"/>
      <c r="B114" s="5">
        <f>Volume!L48</f>
        <v>3.7262886119481553E-3</v>
      </c>
      <c r="C114" s="9">
        <f>ROA!G262</f>
        <v>3.39E-2</v>
      </c>
      <c r="D114" s="9">
        <f>Leverage!F275</f>
        <v>0.4194</v>
      </c>
      <c r="E114" s="9">
        <f>'Sales Growth'!F204</f>
        <v>0.1081</v>
      </c>
      <c r="F114" s="8">
        <f>LN(4650000000000)</f>
        <v>29.167888335527813</v>
      </c>
      <c r="G114">
        <f>DPR!K46</f>
        <v>0.74786300000000006</v>
      </c>
      <c r="H114" s="8">
        <f>Investment!F227</f>
        <v>0.1135</v>
      </c>
      <c r="J114">
        <f t="shared" si="8"/>
        <v>3.7193631972693526E-3</v>
      </c>
      <c r="K114">
        <f t="shared" si="9"/>
        <v>-3.3843402645957323</v>
      </c>
      <c r="L114">
        <f t="shared" si="10"/>
        <v>-0.86893016051431748</v>
      </c>
      <c r="M114">
        <f t="shared" si="11"/>
        <v>-2.2246985543369746</v>
      </c>
      <c r="N114">
        <f t="shared" si="12"/>
        <v>3.3730683896077989</v>
      </c>
      <c r="O114">
        <f t="shared" si="13"/>
        <v>-0.29053547286281367</v>
      </c>
      <c r="P114">
        <f t="shared" si="14"/>
        <v>-2.1759524420606797</v>
      </c>
    </row>
    <row r="115" spans="1:16">
      <c r="A115" s="12" t="s">
        <v>4560</v>
      </c>
      <c r="B115" s="5">
        <f>Volume!I49</f>
        <v>5.9485271069380542E-3</v>
      </c>
      <c r="C115" s="9">
        <f>ROA!D270</f>
        <v>0.4617</v>
      </c>
      <c r="D115" s="9">
        <f>Leverage!C283</f>
        <v>0.1191</v>
      </c>
      <c r="E115" s="9">
        <f>'Sales Growth'!C208</f>
        <v>0.16120000000000001</v>
      </c>
      <c r="F115" s="8">
        <f>LN(4860000000000)</f>
        <v>29.212059553840952</v>
      </c>
      <c r="G115" s="8">
        <f>DPR!H47</f>
        <v>0.70000099999999998</v>
      </c>
      <c r="H115" s="8">
        <f>Investment!C235</f>
        <v>9.4299999999999995E-2</v>
      </c>
      <c r="J115">
        <f t="shared" si="8"/>
        <v>5.9309044708524862E-3</v>
      </c>
      <c r="K115">
        <f t="shared" si="9"/>
        <v>-0.77283994946919377</v>
      </c>
      <c r="L115">
        <f t="shared" si="10"/>
        <v>-2.1277918026208829</v>
      </c>
      <c r="M115">
        <f t="shared" si="11"/>
        <v>-1.8251094489096091</v>
      </c>
      <c r="N115">
        <f t="shared" si="12"/>
        <v>3.3745816224330736</v>
      </c>
      <c r="O115">
        <f t="shared" si="13"/>
        <v>-0.35667351536832426</v>
      </c>
      <c r="P115">
        <f t="shared" si="14"/>
        <v>-2.3612740893427251</v>
      </c>
    </row>
    <row r="116" spans="1:16">
      <c r="A116" s="12"/>
      <c r="B116" s="5">
        <f>Volume!J49</f>
        <v>2.9406180381582915E-3</v>
      </c>
      <c r="C116" s="9">
        <f>ROA!E270</f>
        <v>0.37080000000000002</v>
      </c>
      <c r="D116" s="9">
        <f>Leverage!D283</f>
        <v>0.27639999999999998</v>
      </c>
      <c r="E116" s="9">
        <f>'Sales Growth'!D208</f>
        <v>0.12479999999999999</v>
      </c>
      <c r="F116" s="8">
        <f>LN(5430000000000)</f>
        <v>29.322960249874392</v>
      </c>
      <c r="G116" s="8">
        <f>DPR!I47</f>
        <v>0.9</v>
      </c>
      <c r="H116" s="8">
        <f>Investment!D235</f>
        <v>6.3100000000000003E-2</v>
      </c>
      <c r="J116">
        <f t="shared" si="8"/>
        <v>2.936302878356601E-3</v>
      </c>
      <c r="K116">
        <f t="shared" si="9"/>
        <v>-0.99209244529043694</v>
      </c>
      <c r="L116">
        <f t="shared" si="10"/>
        <v>-1.2859061870886224</v>
      </c>
      <c r="M116">
        <f t="shared" si="11"/>
        <v>-2.0810428230468099</v>
      </c>
      <c r="N116">
        <f t="shared" si="12"/>
        <v>3.3783708354238344</v>
      </c>
      <c r="O116">
        <f t="shared" si="13"/>
        <v>-0.10536051565782628</v>
      </c>
      <c r="P116">
        <f t="shared" si="14"/>
        <v>-2.7630345094349695</v>
      </c>
    </row>
    <row r="117" spans="1:16">
      <c r="A117" s="12"/>
      <c r="B117" s="5">
        <f>Volume!K49</f>
        <v>5.7466540150736406E-3</v>
      </c>
      <c r="C117" s="9">
        <f>ROA!F270</f>
        <v>0.2097</v>
      </c>
      <c r="D117" s="9">
        <f>Leverage!E283</f>
        <v>0.2329</v>
      </c>
      <c r="E117" s="9">
        <f>'Sales Growth'!E208</f>
        <v>8.8700000000000001E-2</v>
      </c>
      <c r="F117" s="8">
        <f>LN(5040000000000)</f>
        <v>29.248427198011825</v>
      </c>
      <c r="G117" s="8">
        <f>DPR!J47</f>
        <v>0.89998999999999996</v>
      </c>
      <c r="H117" s="8">
        <f>Investment!E235</f>
        <v>0.13189999999999999</v>
      </c>
      <c r="J117">
        <f t="shared" si="8"/>
        <v>5.7302049867193963E-3</v>
      </c>
      <c r="K117">
        <f t="shared" si="9"/>
        <v>-1.5620773410742628</v>
      </c>
      <c r="L117">
        <f t="shared" si="10"/>
        <v>-1.4571461020918417</v>
      </c>
      <c r="M117">
        <f t="shared" si="11"/>
        <v>-2.422495389666603</v>
      </c>
      <c r="N117">
        <f t="shared" si="12"/>
        <v>3.3758258012240101</v>
      </c>
      <c r="O117">
        <f t="shared" si="13"/>
        <v>-0.10537162683066631</v>
      </c>
      <c r="P117">
        <f t="shared" si="14"/>
        <v>-2.0257112192588682</v>
      </c>
    </row>
    <row r="118" spans="1:16">
      <c r="A118" s="12"/>
      <c r="B118" s="5">
        <f>Volume!L49</f>
        <v>1.8464658802531696E-2</v>
      </c>
      <c r="C118" s="9">
        <f>ROA!G270</f>
        <v>0.27700000000000002</v>
      </c>
      <c r="D118" s="9">
        <f>Leverage!F283</f>
        <v>0.23649999999999999</v>
      </c>
      <c r="E118" s="9">
        <f>'Sales Growth'!F208</f>
        <v>5.4600000000000003E-2</v>
      </c>
      <c r="F118" s="8">
        <f>LN(4830000000000)</f>
        <v>29.205867583593029</v>
      </c>
      <c r="G118" s="8">
        <f>DPR!K47</f>
        <v>0.81779499999999994</v>
      </c>
      <c r="H118" s="8">
        <f>Investment!F235</f>
        <v>9.2700000000000005E-2</v>
      </c>
      <c r="J118">
        <f t="shared" si="8"/>
        <v>1.8296256821552882E-2</v>
      </c>
      <c r="K118">
        <f t="shared" si="9"/>
        <v>-1.2837377727947985</v>
      </c>
      <c r="L118">
        <f t="shared" si="10"/>
        <v>-1.4418070710501494</v>
      </c>
      <c r="M118">
        <f t="shared" si="11"/>
        <v>-2.9077213962312776</v>
      </c>
      <c r="N118">
        <f t="shared" si="12"/>
        <v>3.3743696337311624</v>
      </c>
      <c r="O118">
        <f t="shared" si="13"/>
        <v>-0.20114358503457999</v>
      </c>
      <c r="P118">
        <f t="shared" si="14"/>
        <v>-2.3783868064103277</v>
      </c>
    </row>
    <row r="119" spans="1:16">
      <c r="A119" s="12" t="s">
        <v>4561</v>
      </c>
      <c r="B119" s="5">
        <f>Volume!I50</f>
        <v>2.616449140285775E-3</v>
      </c>
      <c r="C119" s="9">
        <f>ROA!D272</f>
        <v>0.11169999999999999</v>
      </c>
      <c r="D119" s="9">
        <f>Leverage!C285</f>
        <v>0.29609999999999997</v>
      </c>
      <c r="E119" s="9">
        <f>'Sales Growth'!C210</f>
        <v>0.14369999999999999</v>
      </c>
      <c r="F119" s="8">
        <f>LN(12920000000000)</f>
        <v>30.189797614283005</v>
      </c>
      <c r="G119" s="8">
        <f>DPR!H48</f>
        <v>0.34988200000000003</v>
      </c>
      <c r="H119" s="8">
        <f>Investment!C237</f>
        <v>6.3100000000000003E-2</v>
      </c>
      <c r="J119">
        <f t="shared" si="8"/>
        <v>2.6130321961099893E-3</v>
      </c>
      <c r="K119">
        <f t="shared" si="9"/>
        <v>-2.1919385729069822</v>
      </c>
      <c r="L119">
        <f t="shared" si="10"/>
        <v>-1.2170580438745915</v>
      </c>
      <c r="M119">
        <f t="shared" si="11"/>
        <v>-1.9400274858971578</v>
      </c>
      <c r="N119">
        <f t="shared" si="12"/>
        <v>3.4075040399626904</v>
      </c>
      <c r="O119">
        <f t="shared" si="13"/>
        <v>-1.0501593242012506</v>
      </c>
      <c r="P119">
        <f t="shared" si="14"/>
        <v>-2.7630345094349695</v>
      </c>
    </row>
    <row r="120" spans="1:16">
      <c r="A120" s="12"/>
      <c r="B120" s="5">
        <f>Volume!J50</f>
        <v>4.3275328544443721E-4</v>
      </c>
      <c r="C120" s="9">
        <f>ROA!E272</f>
        <v>0.11459999999999999</v>
      </c>
      <c r="D120" s="9">
        <f>Leverage!D285</f>
        <v>0.29859999999999998</v>
      </c>
      <c r="E120" s="9">
        <f>'Sales Growth'!D210</f>
        <v>0.1482</v>
      </c>
      <c r="F120" s="8">
        <f>LN(14920000000000)</f>
        <v>30.333723710704163</v>
      </c>
      <c r="G120" s="8">
        <f>DPR!I48</f>
        <v>0.14906900000000001</v>
      </c>
      <c r="H120" s="8">
        <f>Investment!D237</f>
        <v>4.0300000000000002E-2</v>
      </c>
      <c r="J120">
        <f t="shared" si="8"/>
        <v>4.3265967474733977E-4</v>
      </c>
      <c r="K120">
        <f t="shared" si="9"/>
        <v>-2.1663074747014979</v>
      </c>
      <c r="L120">
        <f t="shared" si="10"/>
        <v>-1.2086503938770472</v>
      </c>
      <c r="M120">
        <f t="shared" si="11"/>
        <v>-1.9091925661201505</v>
      </c>
      <c r="N120">
        <f t="shared" si="12"/>
        <v>3.4122600873495816</v>
      </c>
      <c r="O120">
        <f t="shared" si="13"/>
        <v>-1.9033459929801639</v>
      </c>
      <c r="P120">
        <f t="shared" si="14"/>
        <v>-3.2114038100294997</v>
      </c>
    </row>
    <row r="121" spans="1:16">
      <c r="A121" s="12"/>
      <c r="B121" s="5">
        <f>Volume!K50</f>
        <v>8.0856534911986954E-4</v>
      </c>
      <c r="C121" s="9">
        <f>ROA!F272</f>
        <v>0.1056</v>
      </c>
      <c r="D121" s="9">
        <f>Leverage!E285</f>
        <v>0.34150000000000003</v>
      </c>
      <c r="E121" s="9">
        <f>'Sales Growth'!E210</f>
        <v>0.1507</v>
      </c>
      <c r="F121" s="8">
        <f>LN(17590000000000)</f>
        <v>30.498351674678016</v>
      </c>
      <c r="G121" s="8">
        <f>DPR!J48</f>
        <v>0.85626599999999997</v>
      </c>
      <c r="H121" s="8">
        <f>Investment!E237</f>
        <v>7.6200000000000004E-2</v>
      </c>
      <c r="J121">
        <f t="shared" si="8"/>
        <v>8.0823863625858875E-4</v>
      </c>
      <c r="K121">
        <f t="shared" si="9"/>
        <v>-2.2480969077099759</v>
      </c>
      <c r="L121">
        <f t="shared" si="10"/>
        <v>-1.0744075999712923</v>
      </c>
      <c r="M121">
        <f t="shared" si="11"/>
        <v>-1.8924641733496872</v>
      </c>
      <c r="N121">
        <f t="shared" si="12"/>
        <v>3.417672638699786</v>
      </c>
      <c r="O121">
        <f t="shared" si="13"/>
        <v>-0.15517420344889876</v>
      </c>
      <c r="P121">
        <f t="shared" si="14"/>
        <v>-2.5743938162895366</v>
      </c>
    </row>
    <row r="122" spans="1:16">
      <c r="A122" s="12"/>
      <c r="B122" s="5">
        <f>Volume!L50</f>
        <v>4.014356134714845E-4</v>
      </c>
      <c r="C122" s="9">
        <f>ROA!G272</f>
        <v>0.10920000000000001</v>
      </c>
      <c r="D122" s="9">
        <f>Leverage!F285</f>
        <v>0.30509999999999998</v>
      </c>
      <c r="E122" s="9">
        <f>'Sales Growth'!F210</f>
        <v>0.1229</v>
      </c>
      <c r="F122" s="8">
        <f>LN(19040000000000)</f>
        <v>30.577563145291766</v>
      </c>
      <c r="G122" s="8">
        <f>DPR!K48</f>
        <v>0.56714500000000001</v>
      </c>
      <c r="H122" s="8">
        <f>Investment!F237</f>
        <v>0.1037</v>
      </c>
      <c r="J122">
        <f t="shared" si="8"/>
        <v>4.0135505975287533E-4</v>
      </c>
      <c r="K122">
        <f t="shared" si="9"/>
        <v>-2.2145742156713322</v>
      </c>
      <c r="L122">
        <f t="shared" si="10"/>
        <v>-1.1871156872595132</v>
      </c>
      <c r="M122">
        <f t="shared" si="11"/>
        <v>-2.0963842624101479</v>
      </c>
      <c r="N122">
        <f t="shared" si="12"/>
        <v>3.4202665094673237</v>
      </c>
      <c r="O122">
        <f t="shared" si="13"/>
        <v>-0.56714027602582062</v>
      </c>
      <c r="P122">
        <f t="shared" si="14"/>
        <v>-2.2662531637466552</v>
      </c>
    </row>
    <row r="123" spans="1:16">
      <c r="A123" s="12" t="s">
        <v>4563</v>
      </c>
      <c r="B123" s="5">
        <f>Volume!I52</f>
        <v>1.3305303271198666E-4</v>
      </c>
      <c r="C123" s="9">
        <f>ROA!D295</f>
        <v>2.4500000000000001E-2</v>
      </c>
      <c r="D123" s="9">
        <f>Leverage!C308</f>
        <v>0.46829999999999999</v>
      </c>
      <c r="E123" s="9">
        <f>'Sales Growth'!C223</f>
        <v>0.15079999999999999</v>
      </c>
      <c r="F123" s="8">
        <f>LN(14930000000000)</f>
        <v>30.334393727479647</v>
      </c>
      <c r="G123" s="8">
        <f>DPR!H50</f>
        <v>0.39562900000000001</v>
      </c>
      <c r="H123" s="8">
        <f>Investment!C256</f>
        <v>5.21E-2</v>
      </c>
      <c r="J123">
        <f t="shared" si="8"/>
        <v>1.330441819422539E-4</v>
      </c>
      <c r="K123">
        <f t="shared" si="9"/>
        <v>-3.7090821614314557</v>
      </c>
      <c r="L123">
        <f t="shared" si="10"/>
        <v>-0.75864616279264097</v>
      </c>
      <c r="M123">
        <f t="shared" si="11"/>
        <v>-1.8918008234082815</v>
      </c>
      <c r="N123">
        <f t="shared" si="12"/>
        <v>3.4122821752865016</v>
      </c>
      <c r="O123">
        <f t="shared" si="13"/>
        <v>-0.9272783755502898</v>
      </c>
      <c r="P123">
        <f t="shared" si="14"/>
        <v>-2.9545903302228158</v>
      </c>
    </row>
    <row r="124" spans="1:16">
      <c r="A124" s="12"/>
      <c r="B124" s="5">
        <f>Volume!J52</f>
        <v>2.617528202261818E-3</v>
      </c>
      <c r="C124" s="9">
        <f>ROA!E295</f>
        <v>3.1199999999999999E-2</v>
      </c>
      <c r="D124" s="9">
        <f>Leverage!D308</f>
        <v>0.32150000000000001</v>
      </c>
      <c r="E124" s="9">
        <f>'Sales Growth'!D223</f>
        <v>6.7900000000000002E-2</v>
      </c>
      <c r="F124" s="8">
        <f>LN(9740000000000)</f>
        <v>29.907262233582991</v>
      </c>
      <c r="G124" s="8">
        <f>DPR!I50</f>
        <v>0.50061699999999998</v>
      </c>
      <c r="H124" s="8">
        <f>Investment!D256</f>
        <v>2.1399999999999999E-2</v>
      </c>
      <c r="J124">
        <f t="shared" si="8"/>
        <v>2.6141084415638241E-3</v>
      </c>
      <c r="K124">
        <f t="shared" si="9"/>
        <v>-3.4673371841667002</v>
      </c>
      <c r="L124">
        <f t="shared" si="10"/>
        <v>-1.1347577353044629</v>
      </c>
      <c r="M124">
        <f t="shared" si="11"/>
        <v>-2.6897192444174864</v>
      </c>
      <c r="N124">
        <f t="shared" si="12"/>
        <v>3.3981013349714018</v>
      </c>
      <c r="O124">
        <f t="shared" si="13"/>
        <v>-0.69191394131216422</v>
      </c>
      <c r="P124">
        <f t="shared" si="14"/>
        <v>-3.8443643569543311</v>
      </c>
    </row>
    <row r="125" spans="1:16">
      <c r="A125" s="12"/>
      <c r="B125" s="5">
        <f>Volume!K52</f>
        <v>1.0213382964049311E-3</v>
      </c>
      <c r="C125" s="9">
        <f>ROA!F295</f>
        <v>0.33760000000000001</v>
      </c>
      <c r="D125" s="9">
        <f>Leverage!E308</f>
        <v>2.9000000000000001E-2</v>
      </c>
      <c r="E125" s="9">
        <f>'Sales Growth'!E223</f>
        <v>3.2800000000000003E-2</v>
      </c>
      <c r="F125" s="8">
        <f>LN(11940000000000)</f>
        <v>30.110915223893006</v>
      </c>
      <c r="G125" s="8">
        <f>DPR!J50</f>
        <v>0.501332</v>
      </c>
      <c r="H125" s="8">
        <f>Investment!E256</f>
        <v>1.41E-2</v>
      </c>
      <c r="J125">
        <f t="shared" si="8"/>
        <v>1.0208170853053585E-3</v>
      </c>
      <c r="K125">
        <f t="shared" si="9"/>
        <v>-1.0858935162603349</v>
      </c>
      <c r="L125">
        <f t="shared" si="10"/>
        <v>-3.5404594489956631</v>
      </c>
      <c r="M125">
        <f t="shared" si="11"/>
        <v>-3.417326763592039</v>
      </c>
      <c r="N125">
        <f t="shared" si="12"/>
        <v>3.4048877380427527</v>
      </c>
      <c r="O125">
        <f t="shared" si="13"/>
        <v>-0.69048672271846634</v>
      </c>
      <c r="P125">
        <f t="shared" si="14"/>
        <v>-4.2615804815980143</v>
      </c>
    </row>
    <row r="126" spans="1:16">
      <c r="A126" s="12"/>
      <c r="B126" s="5">
        <f>Volume!L52</f>
        <v>8.7064903955830187E-4</v>
      </c>
      <c r="C126" s="9">
        <f>ROA!G295</f>
        <v>4.0300000000000002E-2</v>
      </c>
      <c r="D126" s="9">
        <f>Leverage!F308</f>
        <v>4.24E-2</v>
      </c>
      <c r="E126" s="9">
        <f>'Sales Growth'!F223</f>
        <v>9.4999999999999998E-3</v>
      </c>
      <c r="F126" s="8">
        <f>LN(9560000000000)</f>
        <v>29.888608842991857</v>
      </c>
      <c r="G126" s="8">
        <f>DPR!K50</f>
        <v>0.30076700000000001</v>
      </c>
      <c r="H126" s="8">
        <f>Investment!F256</f>
        <v>1.2200000000000001E-2</v>
      </c>
      <c r="J126">
        <f t="shared" si="8"/>
        <v>8.7027024453227716E-4</v>
      </c>
      <c r="K126">
        <f t="shared" si="9"/>
        <v>-3.2114038100294997</v>
      </c>
      <c r="L126">
        <f t="shared" si="10"/>
        <v>-3.160606916744225</v>
      </c>
      <c r="M126">
        <f t="shared" si="11"/>
        <v>-4.656463480375642</v>
      </c>
      <c r="N126">
        <f t="shared" si="12"/>
        <v>3.3974774326563968</v>
      </c>
      <c r="O126">
        <f t="shared" si="13"/>
        <v>-1.2014194003715628</v>
      </c>
      <c r="P126">
        <f t="shared" si="14"/>
        <v>-4.406319327242926</v>
      </c>
    </row>
    <row r="127" spans="1:16">
      <c r="A127" s="12" t="s">
        <v>4564</v>
      </c>
      <c r="B127" s="5">
        <f>Volume!I53</f>
        <v>4.6148843974150467E-6</v>
      </c>
      <c r="C127" s="9">
        <f>ROA!D307</f>
        <v>2.58E-2</v>
      </c>
      <c r="D127" s="9">
        <f>Leverage!C319</f>
        <v>0.1857</v>
      </c>
      <c r="E127" s="9">
        <f>'Sales Growth'!C233</f>
        <v>3.9699999999999999E-2</v>
      </c>
      <c r="F127" s="8">
        <f>LN(847720000000)</f>
        <v>27.465816229534784</v>
      </c>
      <c r="G127" s="8">
        <f>DPR!H51</f>
        <v>0.52971099999999993</v>
      </c>
      <c r="H127" s="8">
        <f>Investment!C266</f>
        <v>5.62E-2</v>
      </c>
      <c r="J127">
        <f t="shared" si="8"/>
        <v>4.6148737489673232E-6</v>
      </c>
      <c r="K127">
        <f t="shared" si="9"/>
        <v>-3.6573807870545654</v>
      </c>
      <c r="L127">
        <f t="shared" si="10"/>
        <v>-1.683622810623477</v>
      </c>
      <c r="M127">
        <f t="shared" si="11"/>
        <v>-3.2264040912889924</v>
      </c>
      <c r="N127">
        <f t="shared" si="12"/>
        <v>3.3129421852510301</v>
      </c>
      <c r="O127">
        <f t="shared" si="13"/>
        <v>-0.63542370417568872</v>
      </c>
      <c r="P127">
        <f t="shared" si="14"/>
        <v>-2.8788385220824915</v>
      </c>
    </row>
    <row r="128" spans="1:16">
      <c r="A128" s="12"/>
      <c r="B128" s="5">
        <f>Volume!J53</f>
        <v>2.9919833843240886E-4</v>
      </c>
      <c r="C128" s="9">
        <f>ROA!E307</f>
        <v>7.7899999999999997E-2</v>
      </c>
      <c r="D128" s="9">
        <f>Leverage!D319</f>
        <v>0.16120000000000001</v>
      </c>
      <c r="E128" s="9">
        <f>'Sales Growth'!D233</f>
        <v>5.4999999999999997E-3</v>
      </c>
      <c r="F128" s="8">
        <f>LN(863180000000)</f>
        <v>27.483889081020433</v>
      </c>
      <c r="G128" s="8">
        <f>DPR!I51</f>
        <v>0.60124900000000003</v>
      </c>
      <c r="H128" s="8">
        <f>Investment!D266</f>
        <v>3.0499999999999999E-2</v>
      </c>
      <c r="J128">
        <f t="shared" ref="J128:J190" si="15">LN(B128+1)</f>
        <v>2.991535875355735E-4</v>
      </c>
      <c r="K128">
        <f t="shared" ref="K128:K190" si="16">LN(C128)</f>
        <v>-2.5523293261054345</v>
      </c>
      <c r="L128">
        <f t="shared" ref="L128:L190" si="17">LN(D128)</f>
        <v>-1.8251094489096091</v>
      </c>
      <c r="M128">
        <f t="shared" ref="M128:M190" si="18">LN(E128)</f>
        <v>-5.2030071867437115</v>
      </c>
      <c r="N128">
        <f t="shared" ref="N128:N190" si="19">LN(F128)</f>
        <v>3.3135999813951651</v>
      </c>
      <c r="O128">
        <f t="shared" ref="O128:O190" si="20">LN(G128)</f>
        <v>-0.50874612076521242</v>
      </c>
      <c r="P128">
        <f t="shared" ref="P128:P190" si="21">LN(H128)</f>
        <v>-3.4900285953687713</v>
      </c>
    </row>
    <row r="129" spans="1:16">
      <c r="A129" s="12"/>
      <c r="B129" s="5">
        <f>Volume!K53</f>
        <v>1.1191094663731487E-4</v>
      </c>
      <c r="C129" s="9">
        <f>ROA!F307</f>
        <v>3.6799999999999999E-2</v>
      </c>
      <c r="D129" s="9">
        <f>Leverage!E319</f>
        <v>0.2296</v>
      </c>
      <c r="E129" s="9">
        <f>'Sales Growth'!E233</f>
        <v>1.7999999999999999E-2</v>
      </c>
      <c r="F129" s="8">
        <f>LN(928830000000)</f>
        <v>27.55719156655007</v>
      </c>
      <c r="G129" s="8">
        <f>DPR!J51</f>
        <v>0.60491000000000006</v>
      </c>
      <c r="H129" s="8">
        <f>Investment!E266</f>
        <v>0.1116</v>
      </c>
      <c r="J129">
        <f t="shared" si="15"/>
        <v>1.1190468507437122E-4</v>
      </c>
      <c r="K129">
        <f t="shared" si="16"/>
        <v>-3.3022574338072519</v>
      </c>
      <c r="L129">
        <f t="shared" si="17"/>
        <v>-1.4714166145367258</v>
      </c>
      <c r="M129">
        <f t="shared" si="18"/>
        <v>-4.0173835210859723</v>
      </c>
      <c r="N129">
        <f t="shared" si="19"/>
        <v>3.3162635384330894</v>
      </c>
      <c r="O129">
        <f t="shared" si="20"/>
        <v>-0.50267559234778947</v>
      </c>
      <c r="P129">
        <f t="shared" si="21"/>
        <v>-2.1928342290349265</v>
      </c>
    </row>
    <row r="130" spans="1:16">
      <c r="A130" s="12"/>
      <c r="B130" s="5">
        <f>Volume!L53</f>
        <v>2.8843027483844039E-5</v>
      </c>
      <c r="C130" s="9">
        <f>ROA!G307</f>
        <v>3.7600000000000001E-2</v>
      </c>
      <c r="D130" s="9">
        <f>Leverage!F319</f>
        <v>0.24940000000000001</v>
      </c>
      <c r="E130" s="9">
        <f>'Sales Growth'!F233</f>
        <v>6.9400000000000003E-2</v>
      </c>
      <c r="F130" s="8">
        <f>LN(1040000000000)</f>
        <v>27.670241829081828</v>
      </c>
      <c r="G130" s="8">
        <f>DPR!K51</f>
        <v>0.68605699999999992</v>
      </c>
      <c r="H130" s="8">
        <f>Investment!F266</f>
        <v>5.3600000000000002E-2</v>
      </c>
      <c r="J130">
        <f t="shared" si="15"/>
        <v>2.8842611531619105E-5</v>
      </c>
      <c r="K130">
        <f t="shared" si="16"/>
        <v>-3.2807512285862881</v>
      </c>
      <c r="L130">
        <f t="shared" si="17"/>
        <v>-1.388697245736201</v>
      </c>
      <c r="M130">
        <f t="shared" si="18"/>
        <v>-2.667868411469378</v>
      </c>
      <c r="N130">
        <f t="shared" si="19"/>
        <v>3.3203575335178468</v>
      </c>
      <c r="O130">
        <f t="shared" si="20"/>
        <v>-0.37679456432905756</v>
      </c>
      <c r="P130">
        <f t="shared" si="21"/>
        <v>-2.9262062109053808</v>
      </c>
    </row>
    <row r="131" spans="1:16">
      <c r="A131" s="12" t="s">
        <v>4568</v>
      </c>
      <c r="B131" s="5">
        <f>Volume!I57</f>
        <v>3.9649589434707627E-3</v>
      </c>
      <c r="C131" s="9">
        <f>ROA!D361</f>
        <v>9.5799999999999996E-2</v>
      </c>
      <c r="D131" s="9">
        <f>Leverage!C376</f>
        <v>5.5800000000000002E-2</v>
      </c>
      <c r="E131" s="9">
        <f>'Sales Growth'!C273</f>
        <v>0.12570000000000001</v>
      </c>
      <c r="F131" s="8">
        <f>LN(7800000000000)</f>
        <v>29.685144849624095</v>
      </c>
      <c r="G131" s="8">
        <f>DPR!H55</f>
        <v>0.93362999999999996</v>
      </c>
      <c r="H131" s="8">
        <f>Investment!C311</f>
        <v>8.3999999999999995E-3</v>
      </c>
      <c r="J131">
        <f t="shared" si="15"/>
        <v>3.9571192097412645E-3</v>
      </c>
      <c r="K131">
        <f t="shared" si="16"/>
        <v>-2.3454925940053224</v>
      </c>
      <c r="L131">
        <f t="shared" si="17"/>
        <v>-2.8859814095948719</v>
      </c>
      <c r="M131">
        <f t="shared" si="18"/>
        <v>-2.0738571633859353</v>
      </c>
      <c r="N131">
        <f t="shared" si="19"/>
        <v>3.3906467472668762</v>
      </c>
      <c r="O131">
        <f t="shared" si="20"/>
        <v>-6.8675064849973835E-2</v>
      </c>
      <c r="P131">
        <f t="shared" si="21"/>
        <v>-4.7795235731328694</v>
      </c>
    </row>
    <row r="132" spans="1:16">
      <c r="A132" s="12"/>
      <c r="B132" s="5">
        <f>Volume!J57</f>
        <v>3.7799431392568292E-3</v>
      </c>
      <c r="C132" s="9">
        <f>ROA!E361</f>
        <v>8.5999999999999993E-2</v>
      </c>
      <c r="D132" s="9">
        <f>Leverage!D376</f>
        <v>5.0500000000000003E-2</v>
      </c>
      <c r="E132" s="9">
        <f>'Sales Growth'!D273</f>
        <v>9.8100000000000007E-2</v>
      </c>
      <c r="F132" s="8">
        <f>LN(7470000000000)</f>
        <v>29.641916115073276</v>
      </c>
      <c r="G132" s="8">
        <f>DPR!I55</f>
        <v>0.32456099999999999</v>
      </c>
      <c r="H132" s="8">
        <f>Investment!D311</f>
        <v>2.3E-3</v>
      </c>
      <c r="J132">
        <f t="shared" si="15"/>
        <v>3.7728171058777722E-3</v>
      </c>
      <c r="K132">
        <f t="shared" si="16"/>
        <v>-2.4534079827286295</v>
      </c>
      <c r="L132">
        <f t="shared" si="17"/>
        <v>-2.985781942700823</v>
      </c>
      <c r="M132">
        <f t="shared" si="18"/>
        <v>-2.3217679124108197</v>
      </c>
      <c r="N132">
        <f t="shared" si="19"/>
        <v>3.3891894445959396</v>
      </c>
      <c r="O132">
        <f t="shared" si="20"/>
        <v>-1.1252817789942871</v>
      </c>
      <c r="P132">
        <f t="shared" si="21"/>
        <v>-6.074846156047033</v>
      </c>
    </row>
    <row r="133" spans="1:16">
      <c r="A133" s="12"/>
      <c r="B133" s="5">
        <f>Volume!K57</f>
        <v>1.2775458379582405E-3</v>
      </c>
      <c r="C133" s="9">
        <f>ROA!F361</f>
        <v>6.6299999999999998E-2</v>
      </c>
      <c r="D133" s="9">
        <f>Leverage!E376</f>
        <v>0.14899999999999999</v>
      </c>
      <c r="E133" s="9">
        <f>'Sales Growth'!E273</f>
        <v>2.7799999999999998E-2</v>
      </c>
      <c r="F133" s="8">
        <f>LN(7500000000000)</f>
        <v>29.645924136470814</v>
      </c>
      <c r="G133" s="8">
        <f>DPR!J55</f>
        <v>0.17691999999999999</v>
      </c>
      <c r="H133" s="8">
        <f>Investment!E311</f>
        <v>1.8E-3</v>
      </c>
      <c r="J133">
        <f t="shared" si="15"/>
        <v>1.2767304706462915E-3</v>
      </c>
      <c r="K133">
        <f t="shared" si="16"/>
        <v>-2.7135653817903203</v>
      </c>
      <c r="L133">
        <f t="shared" si="17"/>
        <v>-1.9038089730366781</v>
      </c>
      <c r="M133">
        <f t="shared" si="18"/>
        <v>-3.5827192582855458</v>
      </c>
      <c r="N133">
        <f t="shared" si="19"/>
        <v>3.3893246501081205</v>
      </c>
      <c r="O133">
        <f t="shared" si="20"/>
        <v>-1.7320576259820111</v>
      </c>
      <c r="P133">
        <f t="shared" si="21"/>
        <v>-6.3199686140800182</v>
      </c>
    </row>
    <row r="134" spans="1:16">
      <c r="A134" s="12"/>
      <c r="B134" s="5">
        <f>Volume!L57</f>
        <v>6.4849210363086491E-3</v>
      </c>
      <c r="C134" s="9">
        <f>ROA!G361</f>
        <v>0.17660000000000001</v>
      </c>
      <c r="D134" s="9">
        <f>Leverage!F376</f>
        <v>8.5000000000000006E-2</v>
      </c>
      <c r="E134" s="9">
        <f>'Sales Growth'!F273</f>
        <v>6.4999999999999997E-3</v>
      </c>
      <c r="F134" s="8">
        <f>LN(7620000000000)</f>
        <v>29.661797485627105</v>
      </c>
      <c r="G134" s="8">
        <f>DPR!K55</f>
        <v>0.73911300000000002</v>
      </c>
      <c r="H134" s="8">
        <f>Investment!F311</f>
        <v>2.2000000000000001E-3</v>
      </c>
      <c r="J134">
        <f t="shared" si="15"/>
        <v>6.463984402084887E-3</v>
      </c>
      <c r="K134">
        <f t="shared" si="16"/>
        <v>-1.7338679908122774</v>
      </c>
      <c r="L134">
        <f t="shared" si="17"/>
        <v>-2.4651040224918206</v>
      </c>
      <c r="M134">
        <f t="shared" si="18"/>
        <v>-5.0359531020805459</v>
      </c>
      <c r="N134">
        <f t="shared" si="19"/>
        <v>3.3898599378953147</v>
      </c>
      <c r="O134">
        <f t="shared" si="20"/>
        <v>-0.30230446038643449</v>
      </c>
      <c r="P134">
        <f t="shared" si="21"/>
        <v>-6.1192979186178666</v>
      </c>
    </row>
    <row r="135" spans="1:16">
      <c r="A135" s="12" t="s">
        <v>4572</v>
      </c>
      <c r="B135" s="5">
        <f>Volume!I61</f>
        <v>7.0551574152390301E-3</v>
      </c>
      <c r="C135" s="9">
        <f>ROA!D374</f>
        <v>0.1376</v>
      </c>
      <c r="D135" s="9">
        <f>Leverage!C389</f>
        <v>0.1358</v>
      </c>
      <c r="E135" s="9">
        <f>'Sales Growth'!C284</f>
        <v>8.5599999999999996E-2</v>
      </c>
      <c r="F135" s="8">
        <f>LN(147250000*14000)</f>
        <v>28.354454989093366</v>
      </c>
      <c r="G135" s="8">
        <f>DPR!H59</f>
        <v>0.79541300000000004</v>
      </c>
      <c r="H135" s="8">
        <f>Investment!C322</f>
        <v>1.5900000000000001E-2</v>
      </c>
      <c r="J135">
        <f t="shared" si="15"/>
        <v>7.0303862336429206E-3</v>
      </c>
      <c r="K135">
        <f t="shared" si="16"/>
        <v>-1.9834043534828938</v>
      </c>
      <c r="L135">
        <f t="shared" si="17"/>
        <v>-1.9965720638575413</v>
      </c>
      <c r="M135">
        <f t="shared" si="18"/>
        <v>-2.4580699958344407</v>
      </c>
      <c r="N135">
        <f t="shared" si="19"/>
        <v>3.3447841603006054</v>
      </c>
      <c r="O135">
        <f t="shared" si="20"/>
        <v>-0.22889380236423534</v>
      </c>
      <c r="P135">
        <f t="shared" si="21"/>
        <v>-4.1414361697559512</v>
      </c>
    </row>
    <row r="136" spans="1:16">
      <c r="A136" s="12"/>
      <c r="B136" s="5">
        <f>Volume!J61</f>
        <v>2.7070148355833211E-3</v>
      </c>
      <c r="C136" s="9">
        <f>ROA!E374</f>
        <v>8.6699999999999999E-2</v>
      </c>
      <c r="D136" s="9">
        <f>Leverage!D389</f>
        <v>7.3499999999999996E-2</v>
      </c>
      <c r="E136" s="9">
        <f>'Sales Growth'!D284</f>
        <v>3.2199999999999999E-2</v>
      </c>
      <c r="F136" s="8">
        <f>LN(136070000*14000)</f>
        <v>28.275492625764436</v>
      </c>
      <c r="G136" s="8">
        <f>DPR!I59</f>
        <v>0.158998</v>
      </c>
      <c r="H136" s="8">
        <f>Investment!D322</f>
        <v>3.2800000000000003E-2</v>
      </c>
      <c r="J136">
        <f t="shared" si="15"/>
        <v>2.7033574697986856E-3</v>
      </c>
      <c r="K136">
        <f t="shared" si="16"/>
        <v>-2.4453013951956408</v>
      </c>
      <c r="L136">
        <f t="shared" si="17"/>
        <v>-2.6104698727633462</v>
      </c>
      <c r="M136">
        <f t="shared" si="18"/>
        <v>-3.4357888264317746</v>
      </c>
      <c r="N136">
        <f t="shared" si="19"/>
        <v>3.3419954445122837</v>
      </c>
      <c r="O136">
        <f t="shared" si="20"/>
        <v>-1.8388636554573692</v>
      </c>
      <c r="P136">
        <f t="shared" si="21"/>
        <v>-3.417326763592039</v>
      </c>
    </row>
    <row r="137" spans="1:16">
      <c r="A137" s="12"/>
      <c r="B137" s="5">
        <f>Volume!K61</f>
        <v>3.6544700280374833E-3</v>
      </c>
      <c r="C137" s="9">
        <f>ROA!F374</f>
        <v>0.215</v>
      </c>
      <c r="D137" s="9">
        <f>Leverage!E389</f>
        <v>6.6100000000000006E-2</v>
      </c>
      <c r="E137" s="9">
        <f>'Sales Growth'!E284</f>
        <v>1.4800000000000001E-2</v>
      </c>
      <c r="F137" s="8">
        <f>LN(151330000*14000)</f>
        <v>28.381786049260604</v>
      </c>
      <c r="G137" s="8">
        <f>DPR!J59</f>
        <v>0.24255300000000002</v>
      </c>
      <c r="H137" s="8">
        <f>Investment!E322</f>
        <v>9.6199999999999994E-2</v>
      </c>
      <c r="J137">
        <f t="shared" si="15"/>
        <v>3.6478086766510414E-3</v>
      </c>
      <c r="K137">
        <f t="shared" si="16"/>
        <v>-1.5371172508544744</v>
      </c>
      <c r="L137">
        <f t="shared" si="17"/>
        <v>-2.7165865321244964</v>
      </c>
      <c r="M137">
        <f t="shared" si="18"/>
        <v>-4.213128098212068</v>
      </c>
      <c r="N137">
        <f t="shared" si="19"/>
        <v>3.3457476031294267</v>
      </c>
      <c r="O137">
        <f t="shared" si="20"/>
        <v>-1.4165350357836046</v>
      </c>
      <c r="P137">
        <f t="shared" si="21"/>
        <v>-2.3413259213104762</v>
      </c>
    </row>
    <row r="138" spans="1:16">
      <c r="A138" s="12"/>
      <c r="B138" s="5">
        <f>Volume!L61</f>
        <v>5.8894491516659625E-4</v>
      </c>
      <c r="C138" s="9">
        <f>ROA!G374</f>
        <v>0.16739999999999999</v>
      </c>
      <c r="D138" s="9">
        <f>Leverage!F389</f>
        <v>3.1199999999999999E-2</v>
      </c>
      <c r="E138" s="9">
        <f>'Sales Growth'!F284</f>
        <v>1.12E-2</v>
      </c>
      <c r="F138" s="8">
        <f>LN(160800000*14000)</f>
        <v>28.442484523306536</v>
      </c>
      <c r="G138" s="8">
        <f>DPR!K59</f>
        <v>0.28689699999999996</v>
      </c>
      <c r="H138" s="8">
        <f>Investment!F322</f>
        <v>7.7399999999999997E-2</v>
      </c>
      <c r="J138">
        <f t="shared" si="15"/>
        <v>5.8877155517302396E-4</v>
      </c>
      <c r="K138">
        <f t="shared" si="16"/>
        <v>-1.7873691209267621</v>
      </c>
      <c r="L138">
        <f t="shared" si="17"/>
        <v>-3.4673371841667002</v>
      </c>
      <c r="M138">
        <f t="shared" si="18"/>
        <v>-4.4918415006810886</v>
      </c>
      <c r="N138">
        <f t="shared" si="19"/>
        <v>3.3478839612918847</v>
      </c>
      <c r="O138">
        <f t="shared" si="20"/>
        <v>-1.2486320126545776</v>
      </c>
      <c r="P138">
        <f t="shared" si="21"/>
        <v>-2.5587684983864558</v>
      </c>
    </row>
    <row r="139" spans="1:16">
      <c r="A139" s="12" t="s">
        <v>4574</v>
      </c>
      <c r="B139" s="5">
        <f>Volume!I63</f>
        <v>2.0142978525102237E-4</v>
      </c>
      <c r="C139" s="9">
        <f>ROA!D379</f>
        <v>0.1062</v>
      </c>
      <c r="D139" s="9">
        <f>Leverage!C394</f>
        <v>0.4748</v>
      </c>
      <c r="E139" s="9">
        <f>'Sales Growth'!C288</f>
        <v>0.25740000000000002</v>
      </c>
      <c r="F139" s="8">
        <f>LN(18790000000000)</f>
        <v>30.564345929353923</v>
      </c>
      <c r="G139" s="8">
        <f>DPR!H61</f>
        <v>0.39969299999999996</v>
      </c>
      <c r="H139" s="8">
        <f>Investment!C327</f>
        <v>0.19239999999999999</v>
      </c>
      <c r="J139">
        <f t="shared" si="15"/>
        <v>2.0140950099572485E-4</v>
      </c>
      <c r="K139">
        <f t="shared" si="16"/>
        <v>-2.2424311701742985</v>
      </c>
      <c r="L139">
        <f t="shared" si="17"/>
        <v>-0.74486161624662406</v>
      </c>
      <c r="M139">
        <f t="shared" si="18"/>
        <v>-1.3571239838201108</v>
      </c>
      <c r="N139">
        <f t="shared" si="19"/>
        <v>3.4198341639176424</v>
      </c>
      <c r="O139">
        <f t="shared" si="20"/>
        <v>-0.91705852655306719</v>
      </c>
      <c r="P139">
        <f t="shared" si="21"/>
        <v>-1.6481787407505311</v>
      </c>
    </row>
    <row r="140" spans="1:16">
      <c r="A140" s="12"/>
      <c r="B140" s="5">
        <f>Volume!J63</f>
        <v>4.1574420495306962E-5</v>
      </c>
      <c r="C140" s="9">
        <f>ROA!E379</f>
        <v>0.1119</v>
      </c>
      <c r="D140" s="9">
        <f>Leverage!D394</f>
        <v>0.47960000000000003</v>
      </c>
      <c r="E140" s="9">
        <f>'Sales Growth'!D288</f>
        <v>0.19420000000000001</v>
      </c>
      <c r="F140" s="8">
        <f>LN(18760000000000)</f>
        <v>30.562748059506628</v>
      </c>
      <c r="G140" s="8">
        <f>DPR!I61</f>
        <v>0.44995600000000002</v>
      </c>
      <c r="H140" s="8">
        <f>Investment!D327</f>
        <v>3.95E-2</v>
      </c>
      <c r="J140">
        <f t="shared" si="15"/>
        <v>4.1573556303081776E-5</v>
      </c>
      <c r="K140">
        <f t="shared" si="16"/>
        <v>-2.1901496636642577</v>
      </c>
      <c r="L140">
        <f t="shared" si="17"/>
        <v>-0.7348028558287778</v>
      </c>
      <c r="M140">
        <f t="shared" si="18"/>
        <v>-1.6388667231249125</v>
      </c>
      <c r="N140">
        <f t="shared" si="19"/>
        <v>3.4197818836686271</v>
      </c>
      <c r="O140">
        <f t="shared" si="20"/>
        <v>-0.79860547877610788</v>
      </c>
      <c r="P140">
        <f t="shared" si="21"/>
        <v>-3.2314546070750607</v>
      </c>
    </row>
    <row r="141" spans="1:16">
      <c r="A141" s="12"/>
      <c r="B141" s="5">
        <f>Volume!K63</f>
        <v>8.4609099561730081E-4</v>
      </c>
      <c r="C141" s="9">
        <f>ROA!F379</f>
        <v>0.1055</v>
      </c>
      <c r="D141" s="9">
        <f>Leverage!E394</f>
        <v>0.50019999999999998</v>
      </c>
      <c r="E141" s="9">
        <f>'Sales Growth'!E288</f>
        <v>0.1318</v>
      </c>
      <c r="F141" s="8">
        <f>LN(22960000000000)</f>
        <v>30.764774687379912</v>
      </c>
      <c r="G141" s="8">
        <f>DPR!J61</f>
        <v>0.399982</v>
      </c>
      <c r="H141" s="8">
        <f>Investment!E327</f>
        <v>9.8599999999999993E-2</v>
      </c>
      <c r="J141">
        <f t="shared" si="15"/>
        <v>8.4573326239997066E-4</v>
      </c>
      <c r="K141">
        <f t="shared" si="16"/>
        <v>-2.249044326066016</v>
      </c>
      <c r="L141">
        <f t="shared" si="17"/>
        <v>-0.69274726053861846</v>
      </c>
      <c r="M141">
        <f t="shared" si="18"/>
        <v>-2.0264696569137302</v>
      </c>
      <c r="N141">
        <f t="shared" si="19"/>
        <v>3.4263703564984782</v>
      </c>
      <c r="O141">
        <f t="shared" si="20"/>
        <v>-0.91633573288668546</v>
      </c>
      <c r="P141">
        <f t="shared" si="21"/>
        <v>-2.3166840173735475</v>
      </c>
    </row>
    <row r="142" spans="1:16">
      <c r="A142" s="12"/>
      <c r="B142" s="5">
        <f>Volume!L63</f>
        <v>3.739120917687422E-3</v>
      </c>
      <c r="C142" s="9">
        <f>ROA!G379</f>
        <v>9.2499999999999999E-2</v>
      </c>
      <c r="D142" s="9">
        <f>Leverage!F394</f>
        <v>0.54830000000000001</v>
      </c>
      <c r="E142" s="9">
        <f>'Sales Growth'!F288</f>
        <v>9.4899999999999998E-2</v>
      </c>
      <c r="F142" s="8">
        <f>LN(27670000000000)</f>
        <v>30.951369909727383</v>
      </c>
      <c r="G142" s="8">
        <f>DPR!K61</f>
        <v>0.39998499999999998</v>
      </c>
      <c r="H142" s="8">
        <f>Investment!F327</f>
        <v>0.17549999999999999</v>
      </c>
      <c r="J142">
        <f t="shared" si="15"/>
        <v>3.7321477819285726E-3</v>
      </c>
      <c r="K142">
        <f t="shared" si="16"/>
        <v>-2.3805466344637574</v>
      </c>
      <c r="L142">
        <f t="shared" si="17"/>
        <v>-0.60093269657213422</v>
      </c>
      <c r="M142">
        <f t="shared" si="18"/>
        <v>-2.354931573366255</v>
      </c>
      <c r="N142">
        <f t="shared" si="19"/>
        <v>3.4324172601778034</v>
      </c>
      <c r="O142">
        <f t="shared" si="20"/>
        <v>-0.91632823257729767</v>
      </c>
      <c r="P142">
        <f t="shared" si="21"/>
        <v>-1.7401162360762166</v>
      </c>
    </row>
    <row r="143" spans="1:16">
      <c r="A143" s="12" t="s">
        <v>4575</v>
      </c>
      <c r="B143" s="5">
        <f>Volume!I64</f>
        <v>5.8471972301078615E-4</v>
      </c>
      <c r="C143" s="9">
        <f>ROA!D391</f>
        <v>0.2024</v>
      </c>
      <c r="D143" s="9">
        <f>Leverage!C408</f>
        <v>6.9699999999999998E-2</v>
      </c>
      <c r="E143" s="9">
        <f>'Sales Growth'!C295</f>
        <v>0.10050000000000001</v>
      </c>
      <c r="F143" s="8">
        <f>LN(2250000000000)</f>
        <v>28.441951332144878</v>
      </c>
      <c r="G143" s="8">
        <f>DPR!H62</f>
        <v>0.43546299999999999</v>
      </c>
      <c r="H143" s="8">
        <f>Investment!C337</f>
        <v>3.3099999999999997E-2</v>
      </c>
      <c r="J143">
        <f t="shared" si="15"/>
        <v>5.845488410424392E-4</v>
      </c>
      <c r="K143">
        <f t="shared" si="16"/>
        <v>-1.5975093415688266</v>
      </c>
      <c r="L143">
        <f t="shared" si="17"/>
        <v>-2.663554961215659</v>
      </c>
      <c r="M143">
        <f t="shared" si="18"/>
        <v>-2.2975975514830065</v>
      </c>
      <c r="N143">
        <f t="shared" si="19"/>
        <v>3.347865214822709</v>
      </c>
      <c r="O143">
        <f t="shared" si="20"/>
        <v>-0.83134544611517236</v>
      </c>
      <c r="P143">
        <f t="shared" si="21"/>
        <v>-3.4082219965991198</v>
      </c>
    </row>
    <row r="144" spans="1:16">
      <c r="A144" s="12"/>
      <c r="B144" s="5">
        <f>Volume!J64</f>
        <v>8.1694883285904157E-4</v>
      </c>
      <c r="C144" s="9">
        <f>ROA!E391</f>
        <v>0.21260000000000001</v>
      </c>
      <c r="D144" s="9">
        <f>Leverage!D408</f>
        <v>4.3400000000000001E-2</v>
      </c>
      <c r="E144" s="9">
        <f>'Sales Growth'!D295</f>
        <v>8.14E-2</v>
      </c>
      <c r="F144" s="8">
        <f>LN(2440000000000)</f>
        <v>28.523019155233658</v>
      </c>
      <c r="G144" s="8">
        <f>DPR!I62</f>
        <v>0.97689300000000001</v>
      </c>
      <c r="H144" s="8">
        <f>Investment!D337</f>
        <v>4.4499999999999998E-2</v>
      </c>
      <c r="J144">
        <f t="shared" si="15"/>
        <v>8.1661531179541232E-4</v>
      </c>
      <c r="K144">
        <f t="shared" si="16"/>
        <v>-1.5483428130742893</v>
      </c>
      <c r="L144">
        <f t="shared" si="17"/>
        <v>-3.137295837875778</v>
      </c>
      <c r="M144">
        <f t="shared" si="18"/>
        <v>-2.5083800059736423</v>
      </c>
      <c r="N144">
        <f t="shared" si="19"/>
        <v>3.350711450926164</v>
      </c>
      <c r="O144">
        <f t="shared" si="20"/>
        <v>-2.3378151872507715E-2</v>
      </c>
      <c r="P144">
        <f t="shared" si="21"/>
        <v>-3.1122660898099426</v>
      </c>
    </row>
    <row r="145" spans="1:16">
      <c r="A145" s="12"/>
      <c r="B145" s="5">
        <f>Volume!K64</f>
        <v>1.5053422656235132E-3</v>
      </c>
      <c r="C145" s="9">
        <f>ROA!F391</f>
        <v>0.21240000000000001</v>
      </c>
      <c r="D145" s="9">
        <f>Leverage!E408</f>
        <v>3.2099999999999997E-2</v>
      </c>
      <c r="E145" s="9">
        <f>'Sales Growth'!E295</f>
        <v>0.10780000000000001</v>
      </c>
      <c r="F145" s="8">
        <f>LN(2800000000000)</f>
        <v>28.660640533109706</v>
      </c>
      <c r="G145" s="8">
        <f>DPR!J62</f>
        <v>0.153059</v>
      </c>
      <c r="H145" s="8">
        <f>Investment!E337</f>
        <v>6.7100000000000007E-2</v>
      </c>
      <c r="J145">
        <f t="shared" si="15"/>
        <v>1.5042103737359027E-3</v>
      </c>
      <c r="K145">
        <f t="shared" si="16"/>
        <v>-1.5492839896143533</v>
      </c>
      <c r="L145">
        <f t="shared" si="17"/>
        <v>-3.4388992488461669</v>
      </c>
      <c r="M145">
        <f t="shared" si="18"/>
        <v>-2.2274776205072402</v>
      </c>
      <c r="N145">
        <f t="shared" si="19"/>
        <v>3.3555247715260572</v>
      </c>
      <c r="O145">
        <f t="shared" si="20"/>
        <v>-1.876931811007305</v>
      </c>
      <c r="P145">
        <f t="shared" si="21"/>
        <v>-2.7015712350045007</v>
      </c>
    </row>
    <row r="146" spans="1:16">
      <c r="A146" s="12"/>
      <c r="B146" s="5">
        <f>Volume!L64</f>
        <v>1.0616187878777392E-3</v>
      </c>
      <c r="C146" s="9">
        <f>ROA!G391</f>
        <v>0.19550000000000001</v>
      </c>
      <c r="D146" s="9">
        <f>Leverage!F408</f>
        <v>2.6100000000000002E-2</v>
      </c>
      <c r="E146" s="9">
        <f>'Sales Growth'!F295</f>
        <v>8.5999999999999993E-2</v>
      </c>
      <c r="F146" s="8">
        <f>LN(3110000000000)</f>
        <v>28.76564384211969</v>
      </c>
      <c r="G146" s="8">
        <f>DPR!K62</f>
        <v>0.816133</v>
      </c>
      <c r="H146" s="8">
        <f>Investment!F337</f>
        <v>3.9699999999999999E-2</v>
      </c>
      <c r="J146">
        <f t="shared" si="15"/>
        <v>1.0610556691621176E-3</v>
      </c>
      <c r="K146">
        <f t="shared" si="16"/>
        <v>-1.6321948995567166</v>
      </c>
      <c r="L146">
        <f t="shared" si="17"/>
        <v>-3.6458199646534895</v>
      </c>
      <c r="M146">
        <f t="shared" si="18"/>
        <v>-2.4534079827286295</v>
      </c>
      <c r="N146">
        <f t="shared" si="19"/>
        <v>3.3591817528952772</v>
      </c>
      <c r="O146">
        <f t="shared" si="20"/>
        <v>-0.20317794710341047</v>
      </c>
      <c r="P146">
        <f t="shared" si="21"/>
        <v>-3.2264040912889924</v>
      </c>
    </row>
    <row r="147" spans="1:16">
      <c r="A147" s="12" t="s">
        <v>4576</v>
      </c>
      <c r="B147" s="5">
        <f>Volume!I65</f>
        <v>9.7409285786060184E-3</v>
      </c>
      <c r="C147" s="9">
        <f>ROA!D392</f>
        <v>6.7799999999999999E-2</v>
      </c>
      <c r="D147" s="9">
        <f>Leverage!C409</f>
        <v>0.1431</v>
      </c>
      <c r="E147" s="9">
        <f>'Sales Growth'!C296</f>
        <v>7.8899999999999998E-2</v>
      </c>
      <c r="F147" s="8">
        <f>LN(4370000000000)</f>
        <v>29.105784125036045</v>
      </c>
      <c r="G147" s="8">
        <f>DPR!H63</f>
        <v>0.19775200000000001</v>
      </c>
      <c r="H147" s="8">
        <f>Investment!C338</f>
        <v>0.49490000000000001</v>
      </c>
      <c r="J147">
        <f t="shared" si="15"/>
        <v>9.6937915919697911E-3</v>
      </c>
      <c r="K147">
        <f t="shared" si="16"/>
        <v>-2.6911930840357874</v>
      </c>
      <c r="L147">
        <f t="shared" si="17"/>
        <v>-1.9442115924197318</v>
      </c>
      <c r="M147">
        <f t="shared" si="18"/>
        <v>-2.5395740511303084</v>
      </c>
      <c r="N147">
        <f t="shared" si="19"/>
        <v>3.3709369216092369</v>
      </c>
      <c r="O147">
        <f t="shared" si="20"/>
        <v>-1.6207415586054923</v>
      </c>
      <c r="P147">
        <f t="shared" si="21"/>
        <v>-0.70339955702429668</v>
      </c>
    </row>
    <row r="148" spans="1:16">
      <c r="A148" s="12"/>
      <c r="B148" s="5">
        <f>Volume!J65</f>
        <v>3.5758422275382768E-4</v>
      </c>
      <c r="C148" s="9">
        <f>ROA!E392</f>
        <v>3.1099999999999999E-2</v>
      </c>
      <c r="D148" s="9">
        <f>Leverage!D409</f>
        <v>0.18559999999999999</v>
      </c>
      <c r="E148" s="9">
        <f>'Sales Growth'!D296</f>
        <v>7.3599999999999999E-2</v>
      </c>
      <c r="F148" s="8">
        <f>LN(5060000000000)</f>
        <v>29.252387599227923</v>
      </c>
      <c r="G148" s="8">
        <f>DPR!I63</f>
        <v>0.34932600000000003</v>
      </c>
      <c r="H148" s="8">
        <f>Investment!D338</f>
        <v>8.1699999999999995E-2</v>
      </c>
      <c r="J148">
        <f t="shared" si="15"/>
        <v>3.5752030475263676E-4</v>
      </c>
      <c r="K148">
        <f t="shared" si="16"/>
        <v>-3.4705474597969488</v>
      </c>
      <c r="L148">
        <f t="shared" si="17"/>
        <v>-1.6841614586300369</v>
      </c>
      <c r="M148">
        <f t="shared" si="18"/>
        <v>-2.6091102532473065</v>
      </c>
      <c r="N148">
        <f t="shared" si="19"/>
        <v>3.3759611976705681</v>
      </c>
      <c r="O148">
        <f t="shared" si="20"/>
        <v>-1.0517496953560141</v>
      </c>
      <c r="P148">
        <f t="shared" si="21"/>
        <v>-2.5047012771161801</v>
      </c>
    </row>
    <row r="149" spans="1:16">
      <c r="A149" s="12"/>
      <c r="B149" s="5">
        <f>Volume!K65</f>
        <v>3.8292380047520144E-4</v>
      </c>
      <c r="C149" s="9">
        <f>ROA!F392</f>
        <v>1.44E-2</v>
      </c>
      <c r="D149" s="9">
        <f>Leverage!E409</f>
        <v>0.25600000000000001</v>
      </c>
      <c r="E149" s="9">
        <f>'Sales Growth'!E296</f>
        <v>0.1179</v>
      </c>
      <c r="F149" s="8">
        <f>LN(5540000000000)</f>
        <v>29.34301561668774</v>
      </c>
      <c r="G149" s="8">
        <f>DPR!J63</f>
        <v>0.30446000000000001</v>
      </c>
      <c r="H149" s="8">
        <f>Investment!E338</f>
        <v>5.5199999999999999E-2</v>
      </c>
      <c r="J149">
        <f t="shared" si="15"/>
        <v>3.8285050386737172E-4</v>
      </c>
      <c r="K149">
        <f t="shared" si="16"/>
        <v>-4.240527072400182</v>
      </c>
      <c r="L149">
        <f t="shared" si="17"/>
        <v>-1.3625778345025745</v>
      </c>
      <c r="M149">
        <f t="shared" si="18"/>
        <v>-2.137918471438812</v>
      </c>
      <c r="N149">
        <f t="shared" si="19"/>
        <v>3.3790545491880182</v>
      </c>
      <c r="O149">
        <f t="shared" si="20"/>
        <v>-1.1892155633510291</v>
      </c>
      <c r="P149">
        <f t="shared" si="21"/>
        <v>-2.8967923256990873</v>
      </c>
    </row>
    <row r="150" spans="1:16">
      <c r="A150" s="12"/>
      <c r="B150" s="5">
        <f>Volume!L65</f>
        <v>1.1077015403914817E-2</v>
      </c>
      <c r="C150" s="9">
        <f>ROA!G392</f>
        <v>5.4000000000000003E-3</v>
      </c>
      <c r="D150" s="9">
        <f>Leverage!F409</f>
        <v>0.28160000000000002</v>
      </c>
      <c r="E150" s="9">
        <f>'Sales Growth'!F296</f>
        <v>0.1104</v>
      </c>
      <c r="F150" s="8">
        <f>LN(5570000000000)</f>
        <v>29.34841616986774</v>
      </c>
      <c r="G150" s="8">
        <f>DPR!K63</f>
        <v>0.29644999999999999</v>
      </c>
      <c r="H150" s="8">
        <f>Investment!F338</f>
        <v>5.7700000000000001E-2</v>
      </c>
      <c r="J150">
        <f t="shared" si="15"/>
        <v>1.1016114588923051E-2</v>
      </c>
      <c r="K150">
        <f t="shared" si="16"/>
        <v>-5.2213563254119082</v>
      </c>
      <c r="L150">
        <f t="shared" si="17"/>
        <v>-1.2672676546982498</v>
      </c>
      <c r="M150">
        <f t="shared" si="18"/>
        <v>-2.2036451451391423</v>
      </c>
      <c r="N150">
        <f t="shared" si="19"/>
        <v>3.3792385812700734</v>
      </c>
      <c r="O150">
        <f t="shared" si="20"/>
        <v>-1.2158767088287603</v>
      </c>
      <c r="P150">
        <f t="shared" si="21"/>
        <v>-2.8524981054680834</v>
      </c>
    </row>
    <row r="151" spans="1:16">
      <c r="A151" s="12" t="s">
        <v>4577</v>
      </c>
      <c r="B151" s="5">
        <f>Volume!I66</f>
        <v>5.2550263105913546E-4</v>
      </c>
      <c r="C151" s="9">
        <f>ROA!D419</f>
        <v>1.5800000000000002E-2</v>
      </c>
      <c r="D151" s="9">
        <f>Leverage!C436</f>
        <v>0.3569</v>
      </c>
      <c r="E151" s="9">
        <f>'Sales Growth'!C317</f>
        <v>0.1986</v>
      </c>
      <c r="F151" s="8">
        <f>LN(20810000000000)</f>
        <v>30.66645475633409</v>
      </c>
      <c r="G151" s="8">
        <f>DPR!H64</f>
        <v>0.15001500000000001</v>
      </c>
      <c r="H151" s="8">
        <f>Investment!C358</f>
        <v>0.04</v>
      </c>
      <c r="J151">
        <f t="shared" si="15"/>
        <v>5.2536460290546812E-4</v>
      </c>
      <c r="K151">
        <f t="shared" si="16"/>
        <v>-4.1477453389492158</v>
      </c>
      <c r="L151">
        <f t="shared" si="17"/>
        <v>-1.0302996484860225</v>
      </c>
      <c r="M151">
        <f t="shared" si="18"/>
        <v>-1.6164625273710649</v>
      </c>
      <c r="N151">
        <f t="shared" si="19"/>
        <v>3.4231693782375152</v>
      </c>
      <c r="O151">
        <f t="shared" si="20"/>
        <v>-1.897019989885548</v>
      </c>
      <c r="P151">
        <f t="shared" si="21"/>
        <v>-3.2188758248682006</v>
      </c>
    </row>
    <row r="152" spans="1:16">
      <c r="A152" s="12"/>
      <c r="B152" s="5">
        <f>Volume!J66</f>
        <v>5.0922600089358696E-4</v>
      </c>
      <c r="C152" s="9">
        <f>ROA!E419</f>
        <v>1.7000000000000001E-2</v>
      </c>
      <c r="D152" s="9">
        <f>Leverage!D436</f>
        <v>0.3271</v>
      </c>
      <c r="E152" s="9">
        <f>'Sales Growth'!D317</f>
        <v>0.114</v>
      </c>
      <c r="F152" s="8">
        <f>LN(21660000000000)</f>
        <v>30.706488357501392</v>
      </c>
      <c r="G152" s="8">
        <f>DPR!I64</f>
        <v>0.135601</v>
      </c>
      <c r="H152" s="8">
        <f>Investment!D358</f>
        <v>2.2200000000000001E-2</v>
      </c>
      <c r="J152">
        <f t="shared" si="15"/>
        <v>5.0909638933283919E-4</v>
      </c>
      <c r="K152">
        <f t="shared" si="16"/>
        <v>-4.0745419349259206</v>
      </c>
      <c r="L152">
        <f t="shared" si="17"/>
        <v>-1.1174893444377989</v>
      </c>
      <c r="M152">
        <f t="shared" si="18"/>
        <v>-2.1715568305876416</v>
      </c>
      <c r="N152">
        <f t="shared" si="19"/>
        <v>3.4244739794123715</v>
      </c>
      <c r="O152">
        <f t="shared" si="20"/>
        <v>-1.9980385288717659</v>
      </c>
      <c r="P152">
        <f t="shared" si="21"/>
        <v>-3.8076629901039034</v>
      </c>
    </row>
    <row r="153" spans="1:16">
      <c r="A153" s="12"/>
      <c r="B153" s="5">
        <f>Volume!K66</f>
        <v>2.2264104833589478E-3</v>
      </c>
      <c r="C153" s="9">
        <f>ROA!F419</f>
        <v>0.02</v>
      </c>
      <c r="D153" s="9">
        <f>Leverage!E436</f>
        <v>0.36940000000000001</v>
      </c>
      <c r="E153" s="9">
        <f>'Sales Growth'!E317</f>
        <v>7.8299999999999995E-2</v>
      </c>
      <c r="F153" s="8">
        <f>LN(23300000000000)</f>
        <v>30.779474476500202</v>
      </c>
      <c r="G153" s="8">
        <f>DPR!J64</f>
        <v>0.74986200000000003</v>
      </c>
      <c r="H153" s="8">
        <f>Investment!E358</f>
        <v>1.4200000000000001E-2</v>
      </c>
      <c r="J153">
        <f t="shared" si="15"/>
        <v>2.2239357041076557E-3</v>
      </c>
      <c r="K153">
        <f t="shared" si="16"/>
        <v>-3.912023005428146</v>
      </c>
      <c r="L153">
        <f t="shared" si="17"/>
        <v>-0.9958752112169974</v>
      </c>
      <c r="M153">
        <f t="shared" si="18"/>
        <v>-2.5472076759853799</v>
      </c>
      <c r="N153">
        <f t="shared" si="19"/>
        <v>3.4268480547269733</v>
      </c>
      <c r="O153">
        <f t="shared" si="20"/>
        <v>-0.2878660893818577</v>
      </c>
      <c r="P153">
        <f t="shared" si="21"/>
        <v>-4.2545133143749219</v>
      </c>
    </row>
    <row r="154" spans="1:16">
      <c r="A154" s="12"/>
      <c r="B154" s="5">
        <f>Volume!L66</f>
        <v>8.6498663165486013E-4</v>
      </c>
      <c r="C154" s="9">
        <f>ROA!G419</f>
        <v>2.1600000000000001E-2</v>
      </c>
      <c r="D154" s="9">
        <f>Leverage!F436</f>
        <v>0.36699999999999999</v>
      </c>
      <c r="E154" s="9">
        <f>'Sales Growth'!F317</f>
        <v>7.0000000000000001E-3</v>
      </c>
      <c r="F154" s="8">
        <f>LN(24440000000000)</f>
        <v>30.827242250231944</v>
      </c>
      <c r="G154" s="8">
        <f>DPR!K64</f>
        <v>1.4987360000000001</v>
      </c>
      <c r="H154" s="8">
        <f>Investment!F358</f>
        <v>2.2700000000000001E-2</v>
      </c>
      <c r="J154">
        <f t="shared" si="15"/>
        <v>8.6461274630667657E-4</v>
      </c>
      <c r="K154">
        <f t="shared" si="16"/>
        <v>-3.8350619642920178</v>
      </c>
      <c r="L154">
        <f t="shared" si="17"/>
        <v>-1.0023934309275668</v>
      </c>
      <c r="M154">
        <f t="shared" si="18"/>
        <v>-4.9618451299268234</v>
      </c>
      <c r="N154">
        <f t="shared" si="19"/>
        <v>3.4283987876938409</v>
      </c>
      <c r="O154">
        <f t="shared" si="20"/>
        <v>0.40462208619836049</v>
      </c>
      <c r="P154">
        <f t="shared" si="21"/>
        <v>-3.7853903544947798</v>
      </c>
    </row>
    <row r="155" spans="1:16">
      <c r="A155" s="12" t="s">
        <v>4579</v>
      </c>
      <c r="B155" s="5">
        <f>Volume!I68</f>
        <v>6.6153172468513986E-5</v>
      </c>
      <c r="C155" s="9">
        <f>ROA!D428</f>
        <v>6.7100000000000007E-2</v>
      </c>
      <c r="D155" s="9">
        <f>Leverage!C445</f>
        <v>7.5899999999999995E-2</v>
      </c>
      <c r="E155" s="9">
        <f>'Sales Growth'!C324</f>
        <v>9.5600000000000004E-2</v>
      </c>
      <c r="F155" s="8">
        <f>LN(2580000000000)</f>
        <v>28.578810514862074</v>
      </c>
      <c r="G155" s="8">
        <f>DPR!H66</f>
        <v>0.41956199999999999</v>
      </c>
      <c r="H155" s="8">
        <f>Investment!C365</f>
        <v>7.1099999999999997E-2</v>
      </c>
      <c r="J155">
        <f t="shared" si="15"/>
        <v>6.6150984443990338E-5</v>
      </c>
      <c r="K155">
        <f t="shared" si="16"/>
        <v>-2.7015712350045007</v>
      </c>
      <c r="L155">
        <f t="shared" si="17"/>
        <v>-2.5783385945805528</v>
      </c>
      <c r="M155">
        <f t="shared" si="18"/>
        <v>-2.3475824589247813</v>
      </c>
      <c r="N155">
        <f t="shared" si="19"/>
        <v>3.3526655521416271</v>
      </c>
      <c r="O155">
        <f t="shared" si="20"/>
        <v>-0.86854396900143982</v>
      </c>
      <c r="P155">
        <f t="shared" si="21"/>
        <v>-2.6436679421729421</v>
      </c>
    </row>
    <row r="156" spans="1:16">
      <c r="A156" s="12"/>
      <c r="B156" s="5">
        <f>Volume!J68</f>
        <v>1.1355224167410944E-4</v>
      </c>
      <c r="C156" s="9">
        <f>ROA!E428</f>
        <v>0.1032</v>
      </c>
      <c r="D156" s="9">
        <f>Leverage!D445</f>
        <v>9.74E-2</v>
      </c>
      <c r="E156" s="9">
        <f>'Sales Growth'!D324</f>
        <v>7.0499999999999993E-2</v>
      </c>
      <c r="F156" s="8">
        <f>LN(2830000000000)</f>
        <v>28.671297827583693</v>
      </c>
      <c r="G156" s="8">
        <f>DPR!I66</f>
        <v>0.41375200000000006</v>
      </c>
      <c r="H156" s="8">
        <f>Investment!D365</f>
        <v>3.5999999999999997E-2</v>
      </c>
      <c r="J156">
        <f t="shared" si="15"/>
        <v>1.13545795106413E-4</v>
      </c>
      <c r="K156">
        <f t="shared" si="16"/>
        <v>-2.2710864259346746</v>
      </c>
      <c r="L156">
        <f t="shared" si="17"/>
        <v>-2.3289290683336477</v>
      </c>
      <c r="M156">
        <f t="shared" si="18"/>
        <v>-2.6521425691639142</v>
      </c>
      <c r="N156">
        <f t="shared" si="19"/>
        <v>3.3558965466622714</v>
      </c>
      <c r="O156">
        <f t="shared" si="20"/>
        <v>-0.88248851846568921</v>
      </c>
      <c r="P156">
        <f t="shared" si="21"/>
        <v>-3.3242363405260273</v>
      </c>
    </row>
    <row r="157" spans="1:16">
      <c r="A157" s="12"/>
      <c r="B157" s="5">
        <f>Volume!K68</f>
        <v>2.3648153497967813E-4</v>
      </c>
      <c r="C157" s="9">
        <f>ROA!F428</f>
        <v>0.1211</v>
      </c>
      <c r="D157" s="9">
        <f>Leverage!E445</f>
        <v>6.8500000000000005E-2</v>
      </c>
      <c r="E157" s="9">
        <f>'Sales Growth'!E324</f>
        <v>5.8700000000000002E-2</v>
      </c>
      <c r="F157" s="8">
        <f>LN(2900000000000)</f>
        <v>28.695731852920975</v>
      </c>
      <c r="G157" s="8">
        <f>DPR!J66</f>
        <v>0.35154299999999999</v>
      </c>
      <c r="H157" s="8">
        <f>Investment!E365</f>
        <v>6.4999999999999997E-3</v>
      </c>
      <c r="J157">
        <f t="shared" si="15"/>
        <v>2.364535776288894E-4</v>
      </c>
      <c r="K157">
        <f t="shared" si="16"/>
        <v>-2.1111386284230904</v>
      </c>
      <c r="L157">
        <f t="shared" si="17"/>
        <v>-2.6809215337139576</v>
      </c>
      <c r="M157">
        <f t="shared" si="18"/>
        <v>-2.8353155521480864</v>
      </c>
      <c r="N157">
        <f t="shared" si="19"/>
        <v>3.3567483957801674</v>
      </c>
      <c r="O157">
        <f t="shared" si="20"/>
        <v>-1.0454232423542966</v>
      </c>
      <c r="P157">
        <f t="shared" si="21"/>
        <v>-5.0359531020805459</v>
      </c>
    </row>
    <row r="158" spans="1:16">
      <c r="A158" s="12"/>
      <c r="B158" s="5">
        <f>Volume!L68</f>
        <v>1.3153562836457926E-4</v>
      </c>
      <c r="C158" s="9">
        <f>ROA!G428</f>
        <v>4.8399999999999999E-2</v>
      </c>
      <c r="D158" s="9">
        <f>Leverage!F445</f>
        <v>4.2000000000000003E-2</v>
      </c>
      <c r="E158" s="9">
        <f>'Sales Growth'!F324</f>
        <v>3.2000000000000002E-3</v>
      </c>
      <c r="F158" s="8">
        <f>LN(2920000000000)</f>
        <v>28.702604732208737</v>
      </c>
      <c r="G158" s="8">
        <f>DPR!K66</f>
        <v>0.40594400000000003</v>
      </c>
      <c r="H158" s="8">
        <f>Investment!F365</f>
        <v>6.7000000000000002E-3</v>
      </c>
      <c r="J158">
        <f t="shared" si="15"/>
        <v>1.3152697831240778E-4</v>
      </c>
      <c r="K158">
        <f t="shared" si="16"/>
        <v>-3.028255465259551</v>
      </c>
      <c r="L158">
        <f t="shared" si="17"/>
        <v>-3.1700856606987688</v>
      </c>
      <c r="M158">
        <f t="shared" si="18"/>
        <v>-5.7446044691764557</v>
      </c>
      <c r="N158">
        <f t="shared" si="19"/>
        <v>3.3569878758672047</v>
      </c>
      <c r="O158">
        <f t="shared" si="20"/>
        <v>-0.90154005992824704</v>
      </c>
      <c r="P158">
        <f t="shared" si="21"/>
        <v>-5.005647752585217</v>
      </c>
    </row>
    <row r="159" spans="1:16">
      <c r="A159" s="12" t="s">
        <v>4581</v>
      </c>
      <c r="B159" s="5">
        <f>Volume!I70</f>
        <v>1.1831068591082237E-2</v>
      </c>
      <c r="C159" s="9">
        <f>ROA!D433</f>
        <v>0.1074</v>
      </c>
      <c r="D159" s="9">
        <f>Leverage!C450</f>
        <v>0.2772</v>
      </c>
      <c r="E159" s="9">
        <f>'Sales Growth'!C328</f>
        <v>0.1207</v>
      </c>
      <c r="F159" s="8">
        <f>LN(2530000000000)</f>
        <v>28.559240418667976</v>
      </c>
      <c r="G159" s="8">
        <f>DPR!H68</f>
        <v>5.9226000000000001E-2</v>
      </c>
      <c r="H159" s="8">
        <f>Investment!C370</f>
        <v>3.61E-2</v>
      </c>
      <c r="J159">
        <f t="shared" si="15"/>
        <v>1.1761628661517982E-2</v>
      </c>
      <c r="K159">
        <f t="shared" si="16"/>
        <v>-2.2311950969073728</v>
      </c>
      <c r="L159">
        <f t="shared" si="17"/>
        <v>-1.2830160116663889</v>
      </c>
      <c r="M159">
        <f t="shared" si="18"/>
        <v>-2.1144471508786511</v>
      </c>
      <c r="N159">
        <f t="shared" si="19"/>
        <v>3.3519805411326895</v>
      </c>
      <c r="O159">
        <f t="shared" si="20"/>
        <v>-2.8263946443183312</v>
      </c>
      <c r="P159">
        <f t="shared" si="21"/>
        <v>-3.3214624136433017</v>
      </c>
    </row>
    <row r="160" spans="1:16">
      <c r="A160" s="12"/>
      <c r="B160" s="5">
        <f>Volume!J70</f>
        <v>4.5750458588871759E-6</v>
      </c>
      <c r="C160" s="9">
        <f>ROA!E433</f>
        <v>1.95E-2</v>
      </c>
      <c r="D160" s="9">
        <f>Leverage!D450</f>
        <v>0.35849999999999999</v>
      </c>
      <c r="E160" s="9">
        <f>'Sales Growth'!D328</f>
        <v>0.13339999999999999</v>
      </c>
      <c r="F160" s="8">
        <f>LN(2920000000000)</f>
        <v>28.702604732208737</v>
      </c>
      <c r="G160" s="8">
        <f>DPR!I68</f>
        <v>9.9241999999999997E-2</v>
      </c>
      <c r="H160" s="8">
        <f>Investment!D370</f>
        <v>0.39350000000000002</v>
      </c>
      <c r="J160">
        <f t="shared" si="15"/>
        <v>4.5750353933330163E-6</v>
      </c>
      <c r="K160">
        <f t="shared" si="16"/>
        <v>-3.9373408134124359</v>
      </c>
      <c r="L160">
        <f t="shared" si="17"/>
        <v>-1.0258266189424621</v>
      </c>
      <c r="M160">
        <f t="shared" si="18"/>
        <v>-2.0144031455006139</v>
      </c>
      <c r="N160">
        <f t="shared" si="19"/>
        <v>3.3569878758672047</v>
      </c>
      <c r="O160">
        <f t="shared" si="20"/>
        <v>-2.3101939671975624</v>
      </c>
      <c r="P160">
        <f t="shared" si="21"/>
        <v>-0.93267421112467908</v>
      </c>
    </row>
    <row r="161" spans="1:16">
      <c r="A161" s="12"/>
      <c r="B161" s="5">
        <f>Volume!K70</f>
        <v>9.1500917177743518E-6</v>
      </c>
      <c r="C161" s="9">
        <f>ROA!F433</f>
        <v>1.2E-2</v>
      </c>
      <c r="D161" s="9">
        <f>Leverage!E450</f>
        <v>0.40989999999999999</v>
      </c>
      <c r="E161" s="9">
        <f>'Sales Growth'!E328</f>
        <v>0.1106</v>
      </c>
      <c r="F161" s="8">
        <f>LN(2840000000000)</f>
        <v>28.674825168101663</v>
      </c>
      <c r="G161" s="8">
        <f>DPR!J68</f>
        <v>0.21310799999999999</v>
      </c>
      <c r="H161" s="8">
        <f>Investment!E370</f>
        <v>7.5499999999999998E-2</v>
      </c>
      <c r="J161">
        <f t="shared" si="15"/>
        <v>9.1500498560349842E-6</v>
      </c>
      <c r="K161">
        <f t="shared" si="16"/>
        <v>-4.4228486291941369</v>
      </c>
      <c r="L161">
        <f t="shared" si="17"/>
        <v>-0.89184205147184525</v>
      </c>
      <c r="M161">
        <f t="shared" si="18"/>
        <v>-2.2018351898939028</v>
      </c>
      <c r="N161">
        <f t="shared" si="19"/>
        <v>3.3560195659820842</v>
      </c>
      <c r="O161">
        <f t="shared" si="20"/>
        <v>-1.5459561995216786</v>
      </c>
      <c r="P161">
        <f t="shared" si="21"/>
        <v>-2.5836226227271579</v>
      </c>
    </row>
    <row r="162" spans="1:16">
      <c r="A162" s="12"/>
      <c r="B162" s="5">
        <f>Volume!L70</f>
        <v>2.3149732045969107E-3</v>
      </c>
      <c r="C162" s="9">
        <f>ROA!G433</f>
        <v>3.0499999999999999E-2</v>
      </c>
      <c r="D162" s="9">
        <f>Leverage!F450</f>
        <v>0.4017</v>
      </c>
      <c r="E162" s="9">
        <f>'Sales Growth'!F328</f>
        <v>0.1071</v>
      </c>
      <c r="F162" s="8">
        <f>LN(3270000000000)</f>
        <v>28.81581110083771</v>
      </c>
      <c r="G162" s="8">
        <f>DPR!K68</f>
        <v>0.22692199999999998</v>
      </c>
      <c r="H162" s="8">
        <f>Investment!F370</f>
        <v>2.07E-2</v>
      </c>
      <c r="J162">
        <f t="shared" si="15"/>
        <v>2.3122977823528085E-3</v>
      </c>
      <c r="K162">
        <f t="shared" si="16"/>
        <v>-3.4900285953687713</v>
      </c>
      <c r="L162">
        <f t="shared" si="17"/>
        <v>-0.91204973761690056</v>
      </c>
      <c r="M162">
        <f t="shared" si="18"/>
        <v>-2.233992301528434</v>
      </c>
      <c r="N162">
        <f t="shared" si="19"/>
        <v>3.3609242330552882</v>
      </c>
      <c r="O162">
        <f t="shared" si="20"/>
        <v>-1.4831489328837815</v>
      </c>
      <c r="P162">
        <f t="shared" si="21"/>
        <v>-3.8776215787108135</v>
      </c>
    </row>
    <row r="163" spans="1:16">
      <c r="A163" s="12" t="s">
        <v>4583</v>
      </c>
      <c r="B163" s="5">
        <f>Volume!I72</f>
        <v>9.1900541201394897E-4</v>
      </c>
      <c r="C163" s="9">
        <f>ROA!D444</f>
        <v>7.6899999999999996E-2</v>
      </c>
      <c r="D163" s="9">
        <f>Leverage!C461</f>
        <v>8.6999999999999994E-3</v>
      </c>
      <c r="E163" s="9">
        <f>'Sales Growth'!C339</f>
        <v>9.2499999999999999E-2</v>
      </c>
      <c r="F163" s="8">
        <f>LN(2950000000000)</f>
        <v>28.712826286280276</v>
      </c>
      <c r="G163" s="8">
        <f>DPR!H70</f>
        <v>0.68806400000000001</v>
      </c>
      <c r="H163" s="13">
        <f>Investment!C381</f>
        <v>1.0200000000000001E-2</v>
      </c>
      <c r="J163">
        <f t="shared" si="15"/>
        <v>9.1858338508374804E-4</v>
      </c>
      <c r="K163">
        <f t="shared" si="16"/>
        <v>-2.5652494024705388</v>
      </c>
      <c r="L163">
        <f t="shared" si="17"/>
        <v>-4.744432253321599</v>
      </c>
      <c r="M163">
        <f t="shared" si="18"/>
        <v>-2.3805466344637574</v>
      </c>
      <c r="N163">
        <f t="shared" si="19"/>
        <v>3.3573439318611493</v>
      </c>
      <c r="O163">
        <f t="shared" si="20"/>
        <v>-0.37387342211937419</v>
      </c>
      <c r="P163">
        <f t="shared" si="21"/>
        <v>-4.5853675586919111</v>
      </c>
    </row>
    <row r="164" spans="1:16">
      <c r="A164" s="12"/>
      <c r="B164" s="5">
        <f>Volume!J72</f>
        <v>2.5071895220963075E-3</v>
      </c>
      <c r="C164" s="9">
        <f>ROA!E444</f>
        <v>7.9000000000000001E-2</v>
      </c>
      <c r="D164" s="9">
        <f>Leverage!D461</f>
        <v>5.1999999999999998E-3</v>
      </c>
      <c r="E164" s="9">
        <f>'Sales Growth'!D339</f>
        <v>0.1056</v>
      </c>
      <c r="F164" s="8">
        <f>LN(3240000000000)</f>
        <v>28.806594445732784</v>
      </c>
      <c r="G164" s="8">
        <f>DPR!I70</f>
        <v>0.69729099999999999</v>
      </c>
      <c r="H164" s="13">
        <f>Investment!D381</f>
        <v>1.2999999999999999E-2</v>
      </c>
      <c r="J164">
        <f t="shared" si="15"/>
        <v>2.5040517659849402E-3</v>
      </c>
      <c r="K164">
        <f t="shared" si="16"/>
        <v>-2.5383074265151158</v>
      </c>
      <c r="L164">
        <f t="shared" si="17"/>
        <v>-5.2590966533947556</v>
      </c>
      <c r="M164">
        <f t="shared" si="18"/>
        <v>-2.2480969077099759</v>
      </c>
      <c r="N164">
        <f t="shared" si="19"/>
        <v>3.3606043347415646</v>
      </c>
      <c r="O164">
        <f t="shared" si="20"/>
        <v>-0.36055245176518447</v>
      </c>
      <c r="P164">
        <f t="shared" si="21"/>
        <v>-4.3428059215206005</v>
      </c>
    </row>
    <row r="165" spans="1:16">
      <c r="A165" s="12"/>
      <c r="B165" s="5">
        <f>Volume!K72</f>
        <v>8.453065314000148E-4</v>
      </c>
      <c r="C165" s="9">
        <f>ROA!F444</f>
        <v>6.4500000000000002E-2</v>
      </c>
      <c r="D165" s="9">
        <f>Leverage!C454</f>
        <v>2.0299999999999999E-2</v>
      </c>
      <c r="E165" s="9">
        <f>'Sales Growth'!E339</f>
        <v>4.58E-2</v>
      </c>
      <c r="F165" s="8">
        <f>LN(3230000000000)</f>
        <v>28.803503253163115</v>
      </c>
      <c r="G165" s="8">
        <f>DPR!J70</f>
        <v>0.65367200000000003</v>
      </c>
      <c r="H165" s="13">
        <f>Investment!E381</f>
        <v>7.1000000000000004E-3</v>
      </c>
      <c r="J165">
        <f t="shared" si="15"/>
        <v>8.4494946104244685E-4</v>
      </c>
      <c r="K165">
        <f t="shared" si="16"/>
        <v>-2.7410900551804103</v>
      </c>
      <c r="L165">
        <f t="shared" si="17"/>
        <v>-3.8971343929343956</v>
      </c>
      <c r="M165">
        <f t="shared" si="18"/>
        <v>-3.0834711878619978</v>
      </c>
      <c r="N165">
        <f t="shared" si="19"/>
        <v>3.3604970204790963</v>
      </c>
      <c r="O165">
        <f t="shared" si="20"/>
        <v>-0.42514958238468697</v>
      </c>
      <c r="P165">
        <f t="shared" si="21"/>
        <v>-4.9476604949348673</v>
      </c>
    </row>
    <row r="166" spans="1:16">
      <c r="A166" s="12"/>
      <c r="B166" s="5">
        <f>Volume!L72</f>
        <v>3.9615378925649839E-3</v>
      </c>
      <c r="C166" s="9">
        <f>ROA!G444</f>
        <v>5.6800000000000003E-2</v>
      </c>
      <c r="D166" s="9">
        <f>Leverage!D454</f>
        <v>2.1000000000000001E-2</v>
      </c>
      <c r="E166" s="9">
        <f>'Sales Growth'!F339</f>
        <v>3.9399999999999998E-2</v>
      </c>
      <c r="F166" s="8">
        <f>LN(2960000000000)</f>
        <v>28.716210384264517</v>
      </c>
      <c r="G166" s="8">
        <f>DPR!K70</f>
        <v>0.194051</v>
      </c>
      <c r="H166" s="13">
        <f>Investment!F381</f>
        <v>8.6E-3</v>
      </c>
      <c r="J166">
        <f t="shared" si="15"/>
        <v>3.9537116637867031E-3</v>
      </c>
      <c r="K166">
        <f t="shared" si="16"/>
        <v>-2.8682189532550315</v>
      </c>
      <c r="L166">
        <f t="shared" si="17"/>
        <v>-3.8632328412587138</v>
      </c>
      <c r="M166">
        <f t="shared" si="18"/>
        <v>-3.2339894626782488</v>
      </c>
      <c r="N166">
        <f t="shared" si="19"/>
        <v>3.3574617850651851</v>
      </c>
      <c r="O166">
        <f t="shared" si="20"/>
        <v>-1.6396342678694977</v>
      </c>
      <c r="P166">
        <f t="shared" si="21"/>
        <v>-4.7559930757226754</v>
      </c>
    </row>
    <row r="167" spans="1:16">
      <c r="A167" s="12" t="s">
        <v>4584</v>
      </c>
      <c r="B167" s="5">
        <f>Volume!I73</f>
        <v>1.7467584367964696E-3</v>
      </c>
      <c r="C167" s="9">
        <f>ROA!D446</f>
        <v>3.0800000000000001E-2</v>
      </c>
      <c r="D167" s="9">
        <f>Leverage!C463</f>
        <v>0.75760000000000005</v>
      </c>
      <c r="E167" s="9">
        <f>'Sales Growth'!C340</f>
        <v>0.33710000000000001</v>
      </c>
      <c r="F167" s="8">
        <f>LN(23620000000000)</f>
        <v>30.793114926697765</v>
      </c>
      <c r="G167" s="8">
        <f>DPR!H71</f>
        <v>0.88361299999999987</v>
      </c>
      <c r="H167" s="8">
        <f>Investment!C383</f>
        <v>1.35E-2</v>
      </c>
      <c r="J167">
        <f t="shared" si="15"/>
        <v>1.7452346285035116E-3</v>
      </c>
      <c r="K167">
        <f t="shared" si="16"/>
        <v>-3.4802405890026082</v>
      </c>
      <c r="L167">
        <f t="shared" si="17"/>
        <v>-0.27759973711026847</v>
      </c>
      <c r="M167">
        <f t="shared" si="18"/>
        <v>-1.087375656742122</v>
      </c>
      <c r="N167">
        <f t="shared" si="19"/>
        <v>3.4272911236494572</v>
      </c>
      <c r="O167">
        <f t="shared" si="20"/>
        <v>-0.12373609500479275</v>
      </c>
      <c r="P167">
        <f t="shared" si="21"/>
        <v>-4.3050655935377531</v>
      </c>
    </row>
    <row r="168" spans="1:16">
      <c r="A168" s="12"/>
      <c r="B168" s="5">
        <f>Volume!J73</f>
        <v>5.0117486237100778E-4</v>
      </c>
      <c r="C168" s="9">
        <f>ROA!E446</f>
        <v>9.4100000000000003E-2</v>
      </c>
      <c r="D168" s="9">
        <f>Leverage!D463</f>
        <v>0.79620000000000002</v>
      </c>
      <c r="E168" s="9">
        <f>'Sales Growth'!D340</f>
        <v>0.20019999999999999</v>
      </c>
      <c r="F168" s="8">
        <f>LN(25600000000000)</f>
        <v>30.873613467414064</v>
      </c>
      <c r="G168" s="8">
        <f>DPR!I71</f>
        <v>1.385545</v>
      </c>
      <c r="H168" s="8">
        <f>Investment!D383</f>
        <v>1.15E-2</v>
      </c>
      <c r="J168">
        <f t="shared" si="15"/>
        <v>5.0104931619508264E-4</v>
      </c>
      <c r="K168">
        <f t="shared" si="16"/>
        <v>-2.363397232390803</v>
      </c>
      <c r="L168">
        <f t="shared" si="17"/>
        <v>-0.2279048684159202</v>
      </c>
      <c r="M168">
        <f t="shared" si="18"/>
        <v>-1.6084384121010169</v>
      </c>
      <c r="N168">
        <f t="shared" si="19"/>
        <v>3.4299018860017436</v>
      </c>
      <c r="O168">
        <f t="shared" si="20"/>
        <v>0.32609356404282513</v>
      </c>
      <c r="P168">
        <f t="shared" si="21"/>
        <v>-4.4654082436129325</v>
      </c>
    </row>
    <row r="169" spans="1:16">
      <c r="A169" s="12"/>
      <c r="B169" s="5">
        <f>Volume!K73</f>
        <v>1.8474459373631056E-3</v>
      </c>
      <c r="C169" s="9">
        <f>ROA!F446</f>
        <v>2.4899999999999999E-2</v>
      </c>
      <c r="D169" s="9">
        <f>Leverage!E463</f>
        <v>0.67310000000000003</v>
      </c>
      <c r="E169" s="9">
        <f>'Sales Growth'!E340</f>
        <v>0.1012</v>
      </c>
      <c r="F169" s="8">
        <f>LN(29110000000000)</f>
        <v>31.002102873686081</v>
      </c>
      <c r="G169" s="8">
        <f>DPR!J71</f>
        <v>1.766831</v>
      </c>
      <c r="H169" s="8">
        <f>Investment!E383</f>
        <v>6.7599999999999993E-2</v>
      </c>
      <c r="J169">
        <f t="shared" si="15"/>
        <v>1.8457415080219588E-3</v>
      </c>
      <c r="K169">
        <f t="shared" si="16"/>
        <v>-3.6928874755114753</v>
      </c>
      <c r="L169">
        <f t="shared" si="17"/>
        <v>-0.39586137196546956</v>
      </c>
      <c r="M169">
        <f t="shared" si="18"/>
        <v>-2.290656522128772</v>
      </c>
      <c r="N169">
        <f t="shared" si="19"/>
        <v>3.4340550368195162</v>
      </c>
      <c r="O169">
        <f t="shared" si="20"/>
        <v>0.56918754643190439</v>
      </c>
      <c r="P169">
        <f t="shared" si="21"/>
        <v>-2.6941472959332189</v>
      </c>
    </row>
    <row r="170" spans="1:16">
      <c r="A170" s="12"/>
      <c r="B170" s="5">
        <f>Volume!L73</f>
        <v>2.3169438332637112E-3</v>
      </c>
      <c r="C170" s="9">
        <f>ROA!G446</f>
        <v>2.7300000000000001E-2</v>
      </c>
      <c r="D170" s="9">
        <f>Leverage!F463</f>
        <v>0.74370000000000003</v>
      </c>
      <c r="E170" s="9">
        <f>'Sales Growth'!F340</f>
        <v>7.2999999999999995E-2</v>
      </c>
      <c r="F170" s="8">
        <f>LN(30870000000000)</f>
        <v>31.060805954442618</v>
      </c>
      <c r="G170" s="8">
        <f>DPR!K71</f>
        <v>1.103183</v>
      </c>
      <c r="H170" s="8">
        <f>Investment!F383</f>
        <v>6.7799999999999999E-2</v>
      </c>
      <c r="J170">
        <f t="shared" si="15"/>
        <v>2.3142638576708415E-3</v>
      </c>
      <c r="K170">
        <f t="shared" si="16"/>
        <v>-3.600868576791223</v>
      </c>
      <c r="L170">
        <f t="shared" si="17"/>
        <v>-0.29611755127288253</v>
      </c>
      <c r="M170">
        <f t="shared" si="18"/>
        <v>-2.6172958378337459</v>
      </c>
      <c r="N170">
        <f t="shared" si="19"/>
        <v>3.435946765691765</v>
      </c>
      <c r="O170">
        <f t="shared" si="20"/>
        <v>9.8199637661037745E-2</v>
      </c>
      <c r="P170">
        <f t="shared" si="21"/>
        <v>-2.6911930840357874</v>
      </c>
    </row>
    <row r="171" spans="1:16">
      <c r="A171" s="12" t="s">
        <v>4585</v>
      </c>
      <c r="B171" s="5">
        <f>Volume!I74</f>
        <v>8.4051221242815164E-4</v>
      </c>
      <c r="C171" s="9">
        <f>ROA!D460</f>
        <v>0.1182</v>
      </c>
      <c r="D171" s="9">
        <f>Leverage!C478</f>
        <v>0.22040000000000001</v>
      </c>
      <c r="E171" s="9">
        <f>'Sales Growth'!C349</f>
        <v>9.0899999999999995E-2</v>
      </c>
      <c r="F171" s="8">
        <f>LN(4980000000000)</f>
        <v>29.236451006965108</v>
      </c>
      <c r="G171" s="8">
        <f>DPR!H72</f>
        <v>0.30340300000000003</v>
      </c>
      <c r="H171" s="8">
        <f>Investment!C393</f>
        <v>3.9399999999999998E-2</v>
      </c>
      <c r="J171">
        <f t="shared" si="15"/>
        <v>8.4015917984353085E-4</v>
      </c>
      <c r="K171">
        <f t="shared" si="16"/>
        <v>-2.1353771740101393</v>
      </c>
      <c r="L171">
        <f t="shared" si="17"/>
        <v>-1.5123112017033775</v>
      </c>
      <c r="M171">
        <f t="shared" si="18"/>
        <v>-2.3979952777987039</v>
      </c>
      <c r="N171">
        <f t="shared" si="19"/>
        <v>3.3754162529242895</v>
      </c>
      <c r="O171">
        <f t="shared" si="20"/>
        <v>-1.1926933241798732</v>
      </c>
      <c r="P171">
        <f t="shared" si="21"/>
        <v>-3.2339894626782488</v>
      </c>
    </row>
    <row r="172" spans="1:16">
      <c r="A172" s="12"/>
      <c r="B172" s="5">
        <f>Volume!J74</f>
        <v>2.0650885037930195E-3</v>
      </c>
      <c r="C172" s="9">
        <f>ROA!E460</f>
        <v>9.0999999999999998E-2</v>
      </c>
      <c r="D172" s="9">
        <f>Leverage!D478</f>
        <v>0.23139999999999999</v>
      </c>
      <c r="E172" s="9">
        <f>'Sales Growth'!D349</f>
        <v>5.8200000000000002E-2</v>
      </c>
      <c r="F172" s="8">
        <f>LN(5460000000000)</f>
        <v>29.328469905685363</v>
      </c>
      <c r="G172" s="8">
        <f>DPR!I72</f>
        <v>0.29352899999999998</v>
      </c>
      <c r="H172" s="8">
        <f>Investment!D393</f>
        <v>2.1600000000000001E-2</v>
      </c>
      <c r="J172">
        <f t="shared" si="15"/>
        <v>2.0629591395751358E-3</v>
      </c>
      <c r="K172">
        <f t="shared" si="16"/>
        <v>-2.3968957724652871</v>
      </c>
      <c r="L172">
        <f t="shared" si="17"/>
        <v>-1.4636074642225609</v>
      </c>
      <c r="M172">
        <f t="shared" si="18"/>
        <v>-2.8438699242447449</v>
      </c>
      <c r="N172">
        <f t="shared" si="19"/>
        <v>3.3785587133941606</v>
      </c>
      <c r="O172">
        <f t="shared" si="20"/>
        <v>-1.2257788370993841</v>
      </c>
      <c r="P172">
        <f t="shared" si="21"/>
        <v>-3.8350619642920178</v>
      </c>
    </row>
    <row r="173" spans="1:16">
      <c r="A173" s="12"/>
      <c r="B173" s="5">
        <f>Volume!K74</f>
        <v>3.5072931697072732E-4</v>
      </c>
      <c r="C173" s="9">
        <f>ROA!F460</f>
        <v>9.74E-2</v>
      </c>
      <c r="D173" s="9">
        <f>Leverage!E478</f>
        <v>0.2243</v>
      </c>
      <c r="E173" s="9">
        <f>'Sales Growth'!E349</f>
        <v>4.4699999999999997E-2</v>
      </c>
      <c r="F173" s="8">
        <f>LN(6040000000000)</f>
        <v>29.429425127875273</v>
      </c>
      <c r="G173" s="8">
        <f>DPR!J72</f>
        <v>0.29884499999999997</v>
      </c>
      <c r="H173" s="8">
        <f>Investment!E393</f>
        <v>4.3099999999999999E-2</v>
      </c>
      <c r="J173">
        <f t="shared" si="15"/>
        <v>3.5066782582118708E-4</v>
      </c>
      <c r="K173">
        <f t="shared" si="16"/>
        <v>-2.3289290683336477</v>
      </c>
      <c r="L173">
        <f t="shared" si="17"/>
        <v>-1.4947708374559745</v>
      </c>
      <c r="M173">
        <f t="shared" si="18"/>
        <v>-3.107781777362614</v>
      </c>
      <c r="N173">
        <f t="shared" si="19"/>
        <v>3.3819950285131544</v>
      </c>
      <c r="O173">
        <f t="shared" si="20"/>
        <v>-1.2078302346532408</v>
      </c>
      <c r="P173">
        <f t="shared" si="21"/>
        <v>-3.1442322818724349</v>
      </c>
    </row>
    <row r="174" spans="1:16">
      <c r="A174" s="12"/>
      <c r="B174" s="5">
        <f>Volume!L74</f>
        <v>1.8453171802601063E-2</v>
      </c>
      <c r="C174" s="9">
        <f>ROA!G460</f>
        <v>9.4500000000000001E-2</v>
      </c>
      <c r="D174" s="9">
        <f>Leverage!F478</f>
        <v>0.2024</v>
      </c>
      <c r="E174" s="9">
        <f>'Sales Growth'!F349</f>
        <v>3.8399999999999997E-2</v>
      </c>
      <c r="F174" s="8">
        <f>LN(6290000000000)</f>
        <v>29.469982186640898</v>
      </c>
      <c r="G174" s="8">
        <f>DPR!K72</f>
        <v>0.24897600000000003</v>
      </c>
      <c r="H174" s="8">
        <f>Investment!F393</f>
        <v>2.3199999999999998E-2</v>
      </c>
      <c r="J174">
        <f t="shared" si="15"/>
        <v>1.8284978016136075E-2</v>
      </c>
      <c r="K174">
        <f t="shared" si="16"/>
        <v>-2.3591554444824401</v>
      </c>
      <c r="L174">
        <f t="shared" si="17"/>
        <v>-1.5975093415688266</v>
      </c>
      <c r="M174">
        <f t="shared" si="18"/>
        <v>-3.2596978193884558</v>
      </c>
      <c r="N174">
        <f t="shared" si="19"/>
        <v>3.383372192292037</v>
      </c>
      <c r="O174">
        <f t="shared" si="20"/>
        <v>-1.3903987727049829</v>
      </c>
      <c r="P174">
        <f t="shared" si="21"/>
        <v>-3.7636030003098728</v>
      </c>
    </row>
    <row r="175" spans="1:16">
      <c r="A175" s="12" t="s">
        <v>4586</v>
      </c>
      <c r="B175" s="5">
        <f>Volume!I75</f>
        <v>3.1786992221356229E-3</v>
      </c>
      <c r="C175" s="9">
        <f>ROA!D463</f>
        <v>0.39360000000000001</v>
      </c>
      <c r="D175" s="9">
        <f>Leverage!C482</f>
        <v>0.1429</v>
      </c>
      <c r="E175" s="9">
        <f>'Sales Growth'!C352</f>
        <v>0.1134</v>
      </c>
      <c r="F175" s="8">
        <f>LN(16750000000000)</f>
        <v>30.449419374199625</v>
      </c>
      <c r="G175">
        <f>DPR!H73</f>
        <v>0.95474799999999993</v>
      </c>
      <c r="H175" s="8">
        <f>Investment!C396</f>
        <v>0.1101</v>
      </c>
      <c r="J175">
        <f t="shared" si="15"/>
        <v>3.17365783830002E-3</v>
      </c>
      <c r="K175">
        <f t="shared" si="16"/>
        <v>-0.93242011380403866</v>
      </c>
      <c r="L175">
        <f t="shared" si="17"/>
        <v>-1.9456101940463153</v>
      </c>
      <c r="M175">
        <f t="shared" si="18"/>
        <v>-2.1768338876884852</v>
      </c>
      <c r="N175">
        <f t="shared" si="19"/>
        <v>3.4160669258033223</v>
      </c>
      <c r="O175">
        <f t="shared" si="20"/>
        <v>-4.6307847667917443E-2</v>
      </c>
      <c r="P175">
        <f t="shared" si="21"/>
        <v>-2.2063662352535029</v>
      </c>
    </row>
    <row r="176" spans="1:16">
      <c r="A176" s="12"/>
      <c r="B176" s="5">
        <f>Volume!J75</f>
        <v>1.1107981897133276E-3</v>
      </c>
      <c r="C176" s="9">
        <f>ROA!E463</f>
        <v>0.39290000000000003</v>
      </c>
      <c r="D176" s="9">
        <f>Leverage!D482</f>
        <v>0.1825</v>
      </c>
      <c r="E176" s="9">
        <f>'Sales Growth'!D352</f>
        <v>8.6499999999999994E-2</v>
      </c>
      <c r="F176" s="8">
        <f>LN(18910000000000)</f>
        <v>30.570711998598913</v>
      </c>
      <c r="G176">
        <f>DPR!I73</f>
        <v>0.95410099999999998</v>
      </c>
      <c r="H176" s="8">
        <f>Investment!D396</f>
        <v>9.01E-2</v>
      </c>
      <c r="J176">
        <f t="shared" si="15"/>
        <v>1.1101817098851292E-3</v>
      </c>
      <c r="K176">
        <f t="shared" si="16"/>
        <v>-0.93420015241772292</v>
      </c>
      <c r="L176">
        <f t="shared" si="17"/>
        <v>-1.701005105959591</v>
      </c>
      <c r="M176">
        <f t="shared" si="18"/>
        <v>-2.4476108650443034</v>
      </c>
      <c r="N176">
        <f t="shared" si="19"/>
        <v>3.4200424263936671</v>
      </c>
      <c r="O176">
        <f t="shared" si="20"/>
        <v>-4.6985743116721344E-2</v>
      </c>
      <c r="P176">
        <f t="shared" si="21"/>
        <v>-2.406835114367845</v>
      </c>
    </row>
    <row r="177" spans="1:16">
      <c r="A177" s="12"/>
      <c r="B177" s="5">
        <f>Volume!K75</f>
        <v>1.2295627760348783E-3</v>
      </c>
      <c r="C177" s="9">
        <f>ROA!F463</f>
        <v>0.46289999999999998</v>
      </c>
      <c r="D177" s="9">
        <f>Leverage!E482</f>
        <v>7.3599999999999999E-2</v>
      </c>
      <c r="E177" s="9">
        <f>'Sales Growth'!E352</f>
        <v>6.4100000000000004E-2</v>
      </c>
      <c r="F177" s="8">
        <f>LN(20330000000000)</f>
        <v>30.643118743568802</v>
      </c>
      <c r="G177">
        <f>DPR!J73</f>
        <v>0.20361700000000002</v>
      </c>
      <c r="H177" s="8">
        <f>Investment!E396</f>
        <v>5.0900000000000001E-2</v>
      </c>
      <c r="J177">
        <f t="shared" si="15"/>
        <v>1.2288074827816213E-3</v>
      </c>
      <c r="K177">
        <f t="shared" si="16"/>
        <v>-0.77024423094491223</v>
      </c>
      <c r="L177">
        <f t="shared" si="17"/>
        <v>-2.6091102532473065</v>
      </c>
      <c r="M177">
        <f t="shared" si="18"/>
        <v>-2.7473109150555128</v>
      </c>
      <c r="N177">
        <f t="shared" si="19"/>
        <v>3.422408126362479</v>
      </c>
      <c r="O177">
        <f t="shared" si="20"/>
        <v>-1.5915145007384091</v>
      </c>
      <c r="P177">
        <f t="shared" si="21"/>
        <v>-2.9778923554256598</v>
      </c>
    </row>
    <row r="178" spans="1:16">
      <c r="A178" s="12"/>
      <c r="B178" s="5">
        <f>Volume!L75</f>
        <v>2.00851873926152E-3</v>
      </c>
      <c r="C178" s="9">
        <f>ROA!G463</f>
        <v>0.36080000000000001</v>
      </c>
      <c r="D178" s="9">
        <f>Leverage!F482</f>
        <v>0.192</v>
      </c>
      <c r="E178" s="9">
        <f>'Sales Growth'!F352</f>
        <v>4.4999999999999998E-2</v>
      </c>
      <c r="F178" s="8">
        <f>LN(20650000000000)</f>
        <v>30.658736435335591</v>
      </c>
      <c r="G178">
        <f>DPR!K73</f>
        <v>0.15164800000000001</v>
      </c>
      <c r="H178" s="8">
        <f>Investment!F396</f>
        <v>7.0699999999999999E-2</v>
      </c>
      <c r="J178">
        <f t="shared" si="15"/>
        <v>2.0065043623234808E-3</v>
      </c>
      <c r="K178">
        <f t="shared" si="16"/>
        <v>-1.0194314907936683</v>
      </c>
      <c r="L178">
        <f t="shared" si="17"/>
        <v>-1.6502599069543555</v>
      </c>
      <c r="M178">
        <f t="shared" si="18"/>
        <v>-3.1010927892118172</v>
      </c>
      <c r="N178">
        <f t="shared" si="19"/>
        <v>3.4229176604396812</v>
      </c>
      <c r="O178">
        <f t="shared" si="20"/>
        <v>-1.8861932331969593</v>
      </c>
      <c r="P178">
        <f t="shared" si="21"/>
        <v>-2.64930970607961</v>
      </c>
    </row>
    <row r="179" spans="1:16">
      <c r="A179" s="12" t="s">
        <v>4588</v>
      </c>
      <c r="B179" s="5">
        <f>Volume!I77</f>
        <v>2.8306471857698196E-3</v>
      </c>
      <c r="C179" s="9">
        <f>ROA!D472</f>
        <v>3.73E-2</v>
      </c>
      <c r="D179" s="9">
        <f>Leverage!C491</f>
        <v>0.35749999999999998</v>
      </c>
      <c r="E179" s="9">
        <f>'Sales Growth'!C359</f>
        <v>0.2858</v>
      </c>
      <c r="F179" s="8">
        <f>LN(611430000000000)</f>
        <v>34.046821591894947</v>
      </c>
      <c r="G179" s="13">
        <f>DPR!H75</f>
        <v>0.3</v>
      </c>
      <c r="H179" s="8">
        <f>Investment!C403</f>
        <v>1.3299999999999999E-2</v>
      </c>
      <c r="J179">
        <f t="shared" si="15"/>
        <v>2.8266484482573312E-3</v>
      </c>
      <c r="K179">
        <f t="shared" si="16"/>
        <v>-3.2887619523323672</v>
      </c>
      <c r="L179">
        <f t="shared" si="17"/>
        <v>-1.0286199168480747</v>
      </c>
      <c r="M179">
        <f t="shared" si="18"/>
        <v>-1.2524630134863701</v>
      </c>
      <c r="N179">
        <f t="shared" si="19"/>
        <v>3.5277366829197785</v>
      </c>
      <c r="O179">
        <f t="shared" si="20"/>
        <v>-1.2039728043259361</v>
      </c>
      <c r="P179">
        <f t="shared" si="21"/>
        <v>-4.319991243754429</v>
      </c>
    </row>
    <row r="180" spans="1:16">
      <c r="A180" s="12"/>
      <c r="B180" s="5">
        <f>Volume!J77</f>
        <v>7.4703056764683978E-3</v>
      </c>
      <c r="C180" s="9">
        <f>ROA!E472</f>
        <v>4.87E-2</v>
      </c>
      <c r="D180" s="9">
        <f>Leverage!D491</f>
        <v>0.4375</v>
      </c>
      <c r="E180" s="9">
        <f>'Sales Growth'!D359</f>
        <v>0.42380000000000001</v>
      </c>
      <c r="F180" s="8">
        <f>LN(97900000000000)</f>
        <v>32.214967665465011</v>
      </c>
      <c r="G180" s="13">
        <f>DPR!I75</f>
        <v>0.2</v>
      </c>
      <c r="H180" s="8">
        <f>Investment!D403</f>
        <v>2.8299999999999999E-2</v>
      </c>
      <c r="J180">
        <f t="shared" si="15"/>
        <v>7.4425411303787941E-3</v>
      </c>
      <c r="K180">
        <f t="shared" si="16"/>
        <v>-3.0220762488935931</v>
      </c>
      <c r="L180">
        <f t="shared" si="17"/>
        <v>-0.82667857318446791</v>
      </c>
      <c r="M180">
        <f t="shared" si="18"/>
        <v>-0.85849363314793836</v>
      </c>
      <c r="N180">
        <f t="shared" si="19"/>
        <v>3.4724311788795639</v>
      </c>
      <c r="O180">
        <f t="shared" si="20"/>
        <v>-1.6094379124341003</v>
      </c>
      <c r="P180">
        <f t="shared" si="21"/>
        <v>-3.564893474332945</v>
      </c>
    </row>
    <row r="181" spans="1:16">
      <c r="A181" s="12"/>
      <c r="B181" s="5">
        <f>Volume!K77</f>
        <v>6.2816507662754005E-3</v>
      </c>
      <c r="C181" s="9">
        <f>ROA!F472</f>
        <v>3.5700000000000003E-2</v>
      </c>
      <c r="D181" s="9">
        <f>Leverage!E491</f>
        <v>0.52039999999999997</v>
      </c>
      <c r="E181" s="9">
        <f>'Sales Growth'!E359</f>
        <v>0.41970000000000002</v>
      </c>
      <c r="F181" s="8">
        <f>LN(124390000000000)</f>
        <v>32.454442907150423</v>
      </c>
      <c r="G181" s="13">
        <f>DPR!J75</f>
        <v>0.15</v>
      </c>
      <c r="H181" s="8">
        <f>Investment!E403</f>
        <v>2.6700000000000002E-2</v>
      </c>
      <c r="J181">
        <f t="shared" si="15"/>
        <v>6.262003433628688E-3</v>
      </c>
      <c r="K181">
        <f t="shared" si="16"/>
        <v>-3.3326045901965435</v>
      </c>
      <c r="L181">
        <f t="shared" si="17"/>
        <v>-0.65315753234378693</v>
      </c>
      <c r="M181">
        <f t="shared" si="18"/>
        <v>-0.86821510864259188</v>
      </c>
      <c r="N181">
        <f t="shared" si="19"/>
        <v>3.47983734925262</v>
      </c>
      <c r="O181">
        <f t="shared" si="20"/>
        <v>-1.8971199848858813</v>
      </c>
      <c r="P181">
        <f t="shared" si="21"/>
        <v>-3.6230917135759331</v>
      </c>
    </row>
    <row r="182" spans="1:16">
      <c r="A182" s="12"/>
      <c r="B182" s="5">
        <f>Volume!L77</f>
        <v>4.4357651301910198E-3</v>
      </c>
      <c r="C182" s="9">
        <f>ROA!G472</f>
        <v>7.6E-3</v>
      </c>
      <c r="D182" s="9">
        <f>Leverage!F491</f>
        <v>0.56510000000000005</v>
      </c>
      <c r="E182" s="9">
        <f>'Sales Growth'!F359</f>
        <v>0.33589999999999998</v>
      </c>
      <c r="F182" s="8">
        <f>LN(122590000000000)</f>
        <v>32.439866570035448</v>
      </c>
      <c r="G182" s="13">
        <f>DPR!K75</f>
        <v>0.05</v>
      </c>
      <c r="H182" s="8">
        <f>Investment!F403</f>
        <v>2.2200000000000001E-2</v>
      </c>
      <c r="J182">
        <f t="shared" si="15"/>
        <v>4.4259561203247406E-3</v>
      </c>
      <c r="K182">
        <f t="shared" si="16"/>
        <v>-4.8796070316898517</v>
      </c>
      <c r="L182">
        <f t="shared" si="17"/>
        <v>-0.57075257234633936</v>
      </c>
      <c r="M182">
        <f t="shared" si="18"/>
        <v>-1.0909417823638901</v>
      </c>
      <c r="N182">
        <f t="shared" si="19"/>
        <v>3.4793881161079101</v>
      </c>
      <c r="O182">
        <f t="shared" si="20"/>
        <v>-2.9957322735539909</v>
      </c>
      <c r="P182">
        <f t="shared" si="21"/>
        <v>-3.8076629901039034</v>
      </c>
    </row>
    <row r="183" spans="1:16">
      <c r="A183" s="12" t="s">
        <v>4589</v>
      </c>
      <c r="B183" s="5">
        <f>Volume!I78</f>
        <v>2.0686870041616051E-3</v>
      </c>
      <c r="C183" s="9">
        <f>ROA!D476</f>
        <v>5.9799999999999999E-2</v>
      </c>
      <c r="D183" s="9">
        <f>Leverage!C495</f>
        <v>0.14360000000000001</v>
      </c>
      <c r="E183" s="9">
        <f>'Sales Growth'!C362</f>
        <v>0.18110000000000001</v>
      </c>
      <c r="F183" s="8">
        <f>LN(4660000000000)</f>
        <v>29.170036564066102</v>
      </c>
      <c r="G183" s="8">
        <f>DPR!H76</f>
        <v>0.29172199999999998</v>
      </c>
      <c r="H183" s="8">
        <f>Investment!C407</f>
        <v>0.10580000000000001</v>
      </c>
      <c r="J183">
        <f t="shared" si="15"/>
        <v>2.0665502175885434E-3</v>
      </c>
      <c r="K183">
        <f t="shared" si="16"/>
        <v>-2.8167496180255509</v>
      </c>
      <c r="L183">
        <f t="shared" si="17"/>
        <v>-1.9407236223680131</v>
      </c>
      <c r="M183">
        <f t="shared" si="18"/>
        <v>-1.7087059140927694</v>
      </c>
      <c r="N183">
        <f t="shared" si="19"/>
        <v>3.3731420373607128</v>
      </c>
      <c r="O183">
        <f t="shared" si="20"/>
        <v>-1.2319539850003975</v>
      </c>
      <c r="P183">
        <f t="shared" si="21"/>
        <v>-2.246204759557938</v>
      </c>
    </row>
    <row r="184" spans="1:16" ht="16.5" customHeight="1">
      <c r="A184" s="12"/>
      <c r="B184" s="5">
        <f>Volume!J78</f>
        <v>1.7578659183944193E-3</v>
      </c>
      <c r="C184" s="9">
        <f>ROA!E476</f>
        <v>5.7500000000000002E-2</v>
      </c>
      <c r="D184" s="9">
        <f>Leverage!D495</f>
        <v>0.20449999999999999</v>
      </c>
      <c r="E184" s="9">
        <f>'Sales Growth'!D362</f>
        <v>0.2407</v>
      </c>
      <c r="F184" s="8">
        <f>LN(7070000000000)</f>
        <v>29.586881595837031</v>
      </c>
      <c r="G184" s="8">
        <f>DPR!I76</f>
        <v>0.29312300000000002</v>
      </c>
      <c r="H184" s="8">
        <f>Investment!D407</f>
        <v>8.5300000000000001E-2</v>
      </c>
      <c r="J184">
        <f t="shared" si="15"/>
        <v>1.7563226803731359E-3</v>
      </c>
      <c r="K184">
        <f t="shared" si="16"/>
        <v>-2.855970331178832</v>
      </c>
      <c r="L184">
        <f t="shared" si="17"/>
        <v>-1.5871873034992807</v>
      </c>
      <c r="M184">
        <f t="shared" si="18"/>
        <v>-1.4242039341931108</v>
      </c>
      <c r="N184">
        <f t="shared" si="19"/>
        <v>3.3873310737627675</v>
      </c>
      <c r="O184">
        <f t="shared" si="20"/>
        <v>-1.2271629628325886</v>
      </c>
      <c r="P184">
        <f t="shared" si="21"/>
        <v>-2.4615808244845034</v>
      </c>
    </row>
    <row r="185" spans="1:16">
      <c r="A185" s="12"/>
      <c r="B185" s="5">
        <f>Volume!K78</f>
        <v>9.9669961502677675E-3</v>
      </c>
      <c r="C185" s="9">
        <f>ROA!F476</f>
        <v>6.0999999999999999E-2</v>
      </c>
      <c r="D185" s="9">
        <f>Leverage!E495</f>
        <v>0.2117</v>
      </c>
      <c r="E185" s="9">
        <f>'Sales Growth'!E362</f>
        <v>0.23880000000000001</v>
      </c>
      <c r="F185" s="8">
        <f>LN(8880000000000)</f>
        <v>29.814822672932628</v>
      </c>
      <c r="G185" s="8">
        <f>DPR!J76</f>
        <v>0.343499</v>
      </c>
      <c r="H185" s="8">
        <f>Investment!E407</f>
        <v>5.5199999999999999E-2</v>
      </c>
      <c r="J185">
        <f t="shared" si="15"/>
        <v>9.9176532403178839E-3</v>
      </c>
      <c r="K185">
        <f t="shared" si="16"/>
        <v>-2.7968814148088259</v>
      </c>
      <c r="L185">
        <f t="shared" si="17"/>
        <v>-1.5525851008413176</v>
      </c>
      <c r="M185">
        <f t="shared" si="18"/>
        <v>-1.4321288974636899</v>
      </c>
      <c r="N185">
        <f t="shared" si="19"/>
        <v>3.3950056749783997</v>
      </c>
      <c r="O185">
        <f t="shared" si="20"/>
        <v>-1.0685710785321221</v>
      </c>
      <c r="P185">
        <f t="shared" si="21"/>
        <v>-2.8967923256990873</v>
      </c>
    </row>
    <row r="186" spans="1:16">
      <c r="A186" s="12"/>
      <c r="B186" s="5">
        <f>Volume!L78</f>
        <v>2.2413653851433755E-3</v>
      </c>
      <c r="C186" s="9">
        <f>ROA!G476</f>
        <v>5.33E-2</v>
      </c>
      <c r="D186" s="9">
        <f>Leverage!F495</f>
        <v>0.28029999999999999</v>
      </c>
      <c r="E186" s="9">
        <f>'Sales Growth'!F362</f>
        <v>0.1953</v>
      </c>
      <c r="F186" s="8">
        <f>LN(10340000000000)</f>
        <v>29.967040985008833</v>
      </c>
      <c r="G186" s="8">
        <f>DPR!K76</f>
        <v>0.24399499999999999</v>
      </c>
      <c r="H186" s="8">
        <f>Investment!F407</f>
        <v>4.07E-2</v>
      </c>
      <c r="J186">
        <f t="shared" si="15"/>
        <v>2.2388572727802076E-3</v>
      </c>
      <c r="K186">
        <f t="shared" si="16"/>
        <v>-2.931818947810338</v>
      </c>
      <c r="L186">
        <f t="shared" si="17"/>
        <v>-1.2718948208113945</v>
      </c>
      <c r="M186">
        <f t="shared" si="18"/>
        <v>-1.6332184410995039</v>
      </c>
      <c r="N186">
        <f t="shared" si="19"/>
        <v>3.4000981438885867</v>
      </c>
      <c r="O186">
        <f t="shared" si="20"/>
        <v>-1.4106075457021738</v>
      </c>
      <c r="P186">
        <f t="shared" si="21"/>
        <v>-3.2015271865335877</v>
      </c>
    </row>
    <row r="187" spans="1:16">
      <c r="A187" s="12" t="s">
        <v>4590</v>
      </c>
      <c r="B187" s="5">
        <f>Volume!I79</f>
        <v>6.317801956597229E-3</v>
      </c>
      <c r="C187" s="9">
        <f>ROA!D477</f>
        <v>4.1599999999999998E-2</v>
      </c>
      <c r="D187" s="9">
        <f>Leverage!C496</f>
        <v>0.21510000000000001</v>
      </c>
      <c r="E187" s="9">
        <f>'Sales Growth'!C363</f>
        <v>0.1542</v>
      </c>
      <c r="F187" s="8">
        <f>LN(31360000000000)</f>
        <v>31.076554311410757</v>
      </c>
      <c r="G187" s="8">
        <f>DPR!H77</f>
        <v>0.280279</v>
      </c>
      <c r="H187" s="8">
        <f>Investment!C408</f>
        <v>2.1100000000000001E-2</v>
      </c>
      <c r="J187">
        <f t="shared" si="15"/>
        <v>6.2979283070822142E-3</v>
      </c>
      <c r="K187">
        <f t="shared" si="16"/>
        <v>-3.1796551117149194</v>
      </c>
      <c r="L187">
        <f t="shared" si="17"/>
        <v>-1.5366522427084526</v>
      </c>
      <c r="M187">
        <f t="shared" si="18"/>
        <v>-1.8695048178529079</v>
      </c>
      <c r="N187">
        <f t="shared" si="19"/>
        <v>3.4364536542122286</v>
      </c>
      <c r="O187">
        <f t="shared" si="20"/>
        <v>-1.2719697433468795</v>
      </c>
      <c r="P187">
        <f t="shared" si="21"/>
        <v>-3.8584822385001161</v>
      </c>
    </row>
    <row r="188" spans="1:16">
      <c r="A188" s="12"/>
      <c r="B188" s="5">
        <f>Volume!J79</f>
        <v>1.2131456080294275E-2</v>
      </c>
      <c r="C188" s="9">
        <f>ROA!E477</f>
        <v>3.1199999999999999E-2</v>
      </c>
      <c r="D188" s="9">
        <f>Leverage!D496</f>
        <v>0.1973</v>
      </c>
      <c r="E188" s="9">
        <f>'Sales Growth'!D363</f>
        <v>0.23250000000000001</v>
      </c>
      <c r="F188" s="8">
        <f>LN(45680000000000)</f>
        <v>31.452681681276303</v>
      </c>
      <c r="G188" s="8">
        <f>DPR!I77</f>
        <v>0.60472099999999995</v>
      </c>
      <c r="H188" s="8">
        <f>Investment!D408</f>
        <v>2.9100000000000001E-2</v>
      </c>
      <c r="J188">
        <f t="shared" si="15"/>
        <v>1.2058459741892213E-2</v>
      </c>
      <c r="K188">
        <f t="shared" si="16"/>
        <v>-3.4673371841667002</v>
      </c>
      <c r="L188">
        <f t="shared" si="17"/>
        <v>-1.6230298659535674</v>
      </c>
      <c r="M188">
        <f t="shared" si="18"/>
        <v>-1.4588650539547261</v>
      </c>
      <c r="N188">
        <f t="shared" si="19"/>
        <v>3.4484842475964301</v>
      </c>
      <c r="O188">
        <f t="shared" si="20"/>
        <v>-0.50298808434169195</v>
      </c>
      <c r="P188">
        <f t="shared" si="21"/>
        <v>-3.5370171048046903</v>
      </c>
    </row>
    <row r="189" spans="1:16">
      <c r="A189" s="12"/>
      <c r="B189" s="5">
        <f>Volume!K79</f>
        <v>6.7294163264967457E-3</v>
      </c>
      <c r="C189" s="9">
        <f>ROA!F477</f>
        <v>3.3000000000000002E-2</v>
      </c>
      <c r="D189" s="9">
        <f>Leverage!E496</f>
        <v>0.22939999999999999</v>
      </c>
      <c r="E189" s="9">
        <f>'Sales Growth'!E363</f>
        <v>0.2306</v>
      </c>
      <c r="F189" s="8">
        <f>LN(59230000000000)</f>
        <v>31.712449286217421</v>
      </c>
      <c r="G189" s="8">
        <f>DPR!J77</f>
        <v>0.36657199999999995</v>
      </c>
      <c r="H189" s="8">
        <f>Investment!E408</f>
        <v>4.5699999999999998E-2</v>
      </c>
      <c r="J189">
        <f t="shared" si="15"/>
        <v>6.7068748751483737E-3</v>
      </c>
      <c r="K189">
        <f t="shared" si="16"/>
        <v>-3.4112477175156566</v>
      </c>
      <c r="L189">
        <f t="shared" si="17"/>
        <v>-1.4722880742868667</v>
      </c>
      <c r="M189">
        <f t="shared" si="18"/>
        <v>-1.4670706711471784</v>
      </c>
      <c r="N189">
        <f t="shared" si="19"/>
        <v>3.4567093257508437</v>
      </c>
      <c r="O189">
        <f t="shared" si="20"/>
        <v>-1.0035603240166302</v>
      </c>
      <c r="P189">
        <f t="shared" si="21"/>
        <v>-3.0856569810819781</v>
      </c>
    </row>
    <row r="190" spans="1:16">
      <c r="A190" s="12"/>
      <c r="B190" s="5">
        <f>Volume!L79</f>
        <v>1.1582636920428253E-2</v>
      </c>
      <c r="C190" s="9">
        <f>ROA!G477</f>
        <v>3.7699999999999997E-2</v>
      </c>
      <c r="D190" s="9">
        <f>Leverage!F496</f>
        <v>0.24279999999999999</v>
      </c>
      <c r="E190" s="9">
        <f>'Sales Growth'!F363</f>
        <v>0.19550000000000001</v>
      </c>
      <c r="F190" s="8">
        <f>LN(62110000000000)</f>
        <v>31.759928122499758</v>
      </c>
      <c r="G190" s="8">
        <f>DPR!K77</f>
        <v>0.94056000000000006</v>
      </c>
      <c r="H190" s="8">
        <f>Investment!F408</f>
        <v>3.6400000000000002E-2</v>
      </c>
      <c r="J190">
        <f t="shared" si="15"/>
        <v>1.1516071688936673E-2</v>
      </c>
      <c r="K190">
        <f t="shared" si="16"/>
        <v>-3.2780951845281718</v>
      </c>
      <c r="L190">
        <f t="shared" si="17"/>
        <v>-1.415517219796794</v>
      </c>
      <c r="M190">
        <f t="shared" si="18"/>
        <v>-1.6321948995567166</v>
      </c>
      <c r="N190">
        <f t="shared" si="19"/>
        <v>3.4582053732309004</v>
      </c>
      <c r="O190">
        <f t="shared" si="20"/>
        <v>-6.1279836422651272E-2</v>
      </c>
      <c r="P190">
        <f t="shared" si="21"/>
        <v>-3.3131865043394422</v>
      </c>
    </row>
    <row r="191" spans="1:16">
      <c r="C191" s="10">
        <f>MIN(C2:C190)</f>
        <v>5.4000000000000003E-3</v>
      </c>
      <c r="D191" s="10">
        <f>MIN(D2:D190)</f>
        <v>1.4E-3</v>
      </c>
      <c r="E191" s="10">
        <f>MIN(E2:E190)</f>
        <v>8.0000000000000004E-4</v>
      </c>
      <c r="F191">
        <f>MAX(F2:F190)</f>
        <v>34.046821591894947</v>
      </c>
      <c r="J191">
        <f>VAR(J2:J190)</f>
        <v>2.4991330684546642E-5</v>
      </c>
      <c r="N191" s="11">
        <f>Investment!K411</f>
        <v>0</v>
      </c>
    </row>
    <row r="192" spans="1:16">
      <c r="N192" s="11">
        <f>Investment!L411</f>
        <v>0</v>
      </c>
    </row>
    <row r="193" spans="14:14">
      <c r="N193" s="11">
        <f>Investment!I414</f>
        <v>0</v>
      </c>
    </row>
    <row r="194" spans="14:14">
      <c r="N194" s="11">
        <f>Investment!J414</f>
        <v>0</v>
      </c>
    </row>
    <row r="195" spans="14:14">
      <c r="N195" s="11">
        <f>Investment!K414</f>
        <v>0</v>
      </c>
    </row>
    <row r="196" spans="14:14">
      <c r="N196" s="11">
        <f>Investment!L414</f>
        <v>0</v>
      </c>
    </row>
    <row r="197" spans="14:14">
      <c r="N197" s="11">
        <f>Investment!I421</f>
        <v>0</v>
      </c>
    </row>
    <row r="198" spans="14:14">
      <c r="N198" s="11">
        <f>Investment!J421</f>
        <v>0</v>
      </c>
    </row>
    <row r="199" spans="14:14">
      <c r="N199" s="11">
        <f>Investment!K421</f>
        <v>0</v>
      </c>
    </row>
    <row r="200" spans="14:14">
      <c r="N200" s="11">
        <f>Investment!L421</f>
        <v>0</v>
      </c>
    </row>
    <row r="201" spans="14:14">
      <c r="N201" s="11">
        <f>Investment!I425</f>
        <v>0</v>
      </c>
    </row>
    <row r="202" spans="14:14">
      <c r="N202" s="11">
        <f>Investment!J425</f>
        <v>0</v>
      </c>
    </row>
    <row r="203" spans="14:14">
      <c r="N203" s="11">
        <f>Investment!K425</f>
        <v>0</v>
      </c>
    </row>
    <row r="204" spans="14:14">
      <c r="N204" s="11">
        <f>Investment!L425</f>
        <v>0</v>
      </c>
    </row>
    <row r="205" spans="14:14">
      <c r="N205" s="11">
        <f>Investment!I426</f>
        <v>0</v>
      </c>
    </row>
    <row r="206" spans="14:14">
      <c r="N206" s="11">
        <f>Investment!J426</f>
        <v>0</v>
      </c>
    </row>
    <row r="207" spans="14:14">
      <c r="N207" s="11">
        <f>Investment!K426</f>
        <v>0</v>
      </c>
    </row>
    <row r="208" spans="14:14">
      <c r="N208" s="11">
        <f>Investment!L426</f>
        <v>0</v>
      </c>
    </row>
  </sheetData>
  <mergeCells count="55">
    <mergeCell ref="AK5:AS5"/>
    <mergeCell ref="AK9:AR9"/>
    <mergeCell ref="AX2:BG2"/>
    <mergeCell ref="AZ3:AZ4"/>
    <mergeCell ref="S13:U13"/>
    <mergeCell ref="AB4:AH4"/>
    <mergeCell ref="AB10:AH10"/>
    <mergeCell ref="AB11:AH11"/>
    <mergeCell ref="A179:A182"/>
    <mergeCell ref="A183:A186"/>
    <mergeCell ref="A187:A190"/>
    <mergeCell ref="A163:A166"/>
    <mergeCell ref="A167:A170"/>
    <mergeCell ref="A171:A174"/>
    <mergeCell ref="A175:A178"/>
    <mergeCell ref="A147:A150"/>
    <mergeCell ref="A151:A154"/>
    <mergeCell ref="A155:A158"/>
    <mergeCell ref="A159:A162"/>
    <mergeCell ref="A135:A138"/>
    <mergeCell ref="A139:A142"/>
    <mergeCell ref="A143:A146"/>
    <mergeCell ref="A127:A130"/>
    <mergeCell ref="A131:A134"/>
    <mergeCell ref="A111:A114"/>
    <mergeCell ref="A115:A118"/>
    <mergeCell ref="A119:A122"/>
    <mergeCell ref="A123:A126"/>
    <mergeCell ref="A107:A110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51:A54"/>
    <mergeCell ref="A55:A58"/>
    <mergeCell ref="A59:A62"/>
    <mergeCell ref="A63:A66"/>
    <mergeCell ref="A31:A34"/>
    <mergeCell ref="A35:A38"/>
    <mergeCell ref="A39:A42"/>
    <mergeCell ref="A43:A46"/>
    <mergeCell ref="A47:A50"/>
    <mergeCell ref="A15:A18"/>
    <mergeCell ref="A19:A22"/>
    <mergeCell ref="A23:A26"/>
    <mergeCell ref="A27:A30"/>
    <mergeCell ref="A2:A5"/>
    <mergeCell ref="A6:A9"/>
    <mergeCell ref="A11:A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opLeftCell="N1" workbookViewId="0">
      <selection activeCell="Q2" sqref="Q2:W12"/>
    </sheetView>
  </sheetViews>
  <sheetFormatPr defaultRowHeight="15"/>
  <cols>
    <col min="1" max="1" width="10.42578125" bestFit="1" customWidth="1"/>
    <col min="3" max="3" width="14.7109375" bestFit="1" customWidth="1"/>
    <col min="12" max="12" width="9.28515625" customWidth="1"/>
    <col min="13" max="13" width="17.42578125" bestFit="1" customWidth="1"/>
    <col min="14" max="14" width="23.42578125" bestFit="1" customWidth="1"/>
    <col min="18" max="18" width="10.28515625" bestFit="1" customWidth="1"/>
    <col min="19" max="19" width="26.5703125" bestFit="1" customWidth="1"/>
    <col min="21" max="21" width="24.140625" bestFit="1" customWidth="1"/>
  </cols>
  <sheetData>
    <row r="1" spans="1:23">
      <c r="A1" s="31" t="s">
        <v>4656</v>
      </c>
      <c r="B1" s="31"/>
      <c r="C1" s="31"/>
      <c r="D1" s="31"/>
      <c r="E1" s="31"/>
      <c r="F1" s="31"/>
      <c r="G1" s="31"/>
    </row>
    <row r="2" spans="1:23">
      <c r="A2" s="32" t="s">
        <v>4611</v>
      </c>
      <c r="B2" s="32"/>
      <c r="C2" s="32" t="s">
        <v>4649</v>
      </c>
      <c r="D2" s="32" t="s">
        <v>4650</v>
      </c>
      <c r="E2" s="32" t="s">
        <v>4651</v>
      </c>
      <c r="F2" s="32" t="s">
        <v>4652</v>
      </c>
      <c r="G2" s="32" t="s">
        <v>4615</v>
      </c>
      <c r="J2" s="31" t="s">
        <v>4662</v>
      </c>
      <c r="K2" s="31"/>
      <c r="L2" s="31"/>
      <c r="M2" s="31"/>
      <c r="N2" s="31"/>
      <c r="O2" s="31"/>
      <c r="Q2" s="31" t="s">
        <v>4667</v>
      </c>
      <c r="R2" s="31"/>
      <c r="S2" s="31"/>
      <c r="T2" s="31"/>
      <c r="U2" s="31"/>
      <c r="V2" s="31"/>
      <c r="W2" s="31"/>
    </row>
    <row r="3" spans="1:23">
      <c r="A3" s="32">
        <v>1</v>
      </c>
      <c r="B3" s="32" t="s">
        <v>4653</v>
      </c>
      <c r="C3" s="32">
        <v>27.952000000000002</v>
      </c>
      <c r="D3" s="32">
        <v>6</v>
      </c>
      <c r="E3" s="32">
        <v>4.6589999999999998</v>
      </c>
      <c r="F3" s="32">
        <v>853.17499999999995</v>
      </c>
      <c r="G3" s="32" t="s">
        <v>4657</v>
      </c>
      <c r="J3" s="32" t="s">
        <v>4611</v>
      </c>
      <c r="K3" s="32" t="s">
        <v>4628</v>
      </c>
      <c r="L3" s="32" t="s">
        <v>4663</v>
      </c>
      <c r="M3" s="32" t="s">
        <v>4630</v>
      </c>
      <c r="N3" s="32" t="s">
        <v>4631</v>
      </c>
      <c r="O3" s="32"/>
      <c r="Q3" s="32" t="s">
        <v>4611</v>
      </c>
      <c r="R3" s="32"/>
      <c r="S3" s="32" t="s">
        <v>4612</v>
      </c>
      <c r="T3" s="32"/>
      <c r="U3" s="32" t="s">
        <v>4613</v>
      </c>
      <c r="V3" s="32" t="s">
        <v>4614</v>
      </c>
      <c r="W3" s="32" t="s">
        <v>4615</v>
      </c>
    </row>
    <row r="4" spans="1:23">
      <c r="A4" s="32"/>
      <c r="B4" s="32" t="s">
        <v>4654</v>
      </c>
      <c r="C4" s="32">
        <v>1.01</v>
      </c>
      <c r="D4" s="32">
        <v>185</v>
      </c>
      <c r="E4" s="32">
        <v>5.0000000000000001E-3</v>
      </c>
      <c r="F4" s="32"/>
      <c r="G4" s="32"/>
      <c r="J4" s="32"/>
      <c r="K4" s="32"/>
      <c r="L4" s="32"/>
      <c r="M4" s="32"/>
      <c r="N4" s="32"/>
      <c r="O4" s="32"/>
      <c r="Q4" s="32"/>
      <c r="R4" s="32"/>
      <c r="S4" s="32" t="s">
        <v>4616</v>
      </c>
      <c r="T4" s="32" t="s">
        <v>4617</v>
      </c>
      <c r="U4" s="32" t="s">
        <v>4618</v>
      </c>
      <c r="V4" s="32"/>
      <c r="W4" s="32"/>
    </row>
    <row r="5" spans="1:23">
      <c r="A5" s="32"/>
      <c r="B5" s="32" t="s">
        <v>4655</v>
      </c>
      <c r="C5" s="32" t="s">
        <v>4658</v>
      </c>
      <c r="D5" s="32">
        <v>191</v>
      </c>
      <c r="E5" s="32"/>
      <c r="F5" s="32"/>
      <c r="G5" s="32"/>
      <c r="J5" s="32">
        <v>1</v>
      </c>
      <c r="K5" s="32" t="s">
        <v>4664</v>
      </c>
      <c r="L5" s="32">
        <v>6.3E-2</v>
      </c>
      <c r="M5" s="32">
        <v>3.2000000000000001E-2</v>
      </c>
      <c r="N5" s="32">
        <v>7.4043600000000001E-2</v>
      </c>
      <c r="O5" s="32"/>
      <c r="Q5" s="32">
        <v>1</v>
      </c>
      <c r="R5" s="32" t="s">
        <v>4668</v>
      </c>
      <c r="S5" s="32">
        <v>-0.46200000000000002</v>
      </c>
      <c r="T5" s="32">
        <v>0.91500000000000004</v>
      </c>
      <c r="U5" s="32"/>
      <c r="V5" s="32">
        <v>-0.505</v>
      </c>
      <c r="W5" s="32">
        <v>0.61399999999999999</v>
      </c>
    </row>
    <row r="6" spans="1:23">
      <c r="J6" s="33" t="s">
        <v>4665</v>
      </c>
      <c r="K6" s="34"/>
      <c r="L6" s="34"/>
      <c r="M6" s="34"/>
      <c r="N6" s="34"/>
      <c r="O6" s="35"/>
      <c r="Q6" s="32"/>
      <c r="R6" s="32" t="s">
        <v>4619</v>
      </c>
      <c r="S6" s="32">
        <v>1.075</v>
      </c>
      <c r="T6" s="32">
        <v>1.764</v>
      </c>
      <c r="U6" s="32">
        <v>4.3999999999999997E-2</v>
      </c>
      <c r="V6" s="32">
        <v>0.61</v>
      </c>
      <c r="W6" s="32">
        <v>0.54300000000000004</v>
      </c>
    </row>
    <row r="7" spans="1:23">
      <c r="J7" s="33" t="s">
        <v>4666</v>
      </c>
      <c r="K7" s="34"/>
      <c r="L7" s="34"/>
      <c r="M7" s="34"/>
      <c r="N7" s="34"/>
      <c r="O7" s="35"/>
      <c r="Q7" s="32"/>
      <c r="R7" s="32" t="s">
        <v>4620</v>
      </c>
      <c r="S7" s="32">
        <v>0.53900000000000003</v>
      </c>
      <c r="T7" s="32">
        <v>0.17799999999999999</v>
      </c>
      <c r="U7" s="32">
        <v>0.249</v>
      </c>
      <c r="V7" s="32">
        <v>3.0249999999999999</v>
      </c>
      <c r="W7" s="32">
        <v>3.0000000000000001E-3</v>
      </c>
    </row>
    <row r="8" spans="1:23">
      <c r="Q8" s="32"/>
      <c r="R8" s="32" t="s">
        <v>4621</v>
      </c>
      <c r="S8" s="32">
        <v>0.23699999999999999</v>
      </c>
      <c r="T8" s="32">
        <v>0.114</v>
      </c>
      <c r="U8" s="32">
        <v>0.183</v>
      </c>
      <c r="V8" s="32">
        <v>2.081</v>
      </c>
      <c r="W8" s="32">
        <v>3.9E-2</v>
      </c>
    </row>
    <row r="9" spans="1:23">
      <c r="Q9" s="32"/>
      <c r="R9" s="32" t="s">
        <v>4622</v>
      </c>
      <c r="S9" s="32">
        <v>-0.15</v>
      </c>
      <c r="T9" s="32">
        <v>0.19</v>
      </c>
      <c r="U9" s="32">
        <v>-6.0999999999999999E-2</v>
      </c>
      <c r="V9" s="32">
        <v>-0.78900000000000003</v>
      </c>
      <c r="W9" s="32">
        <v>0.43099999999999999</v>
      </c>
    </row>
    <row r="10" spans="1:23">
      <c r="Q10" s="32"/>
      <c r="R10" s="32" t="s">
        <v>4623</v>
      </c>
      <c r="S10" s="32">
        <v>4.6509999999999998</v>
      </c>
      <c r="T10" s="32">
        <v>4.9390000000000001</v>
      </c>
      <c r="U10" s="32">
        <v>7.0999999999999994E-2</v>
      </c>
      <c r="V10" s="32">
        <v>0.94199999999999995</v>
      </c>
      <c r="W10" s="32">
        <v>0.34799999999999998</v>
      </c>
    </row>
    <row r="11" spans="1:23">
      <c r="Q11" s="32"/>
      <c r="R11" s="32" t="s">
        <v>4624</v>
      </c>
      <c r="S11" s="32">
        <v>-0.20399999999999999</v>
      </c>
      <c r="T11" s="32">
        <v>0.219</v>
      </c>
      <c r="U11" s="32">
        <v>-6.8000000000000005E-2</v>
      </c>
      <c r="V11" s="32">
        <v>-0.93100000000000005</v>
      </c>
      <c r="W11" s="32">
        <v>0.35299999999999998</v>
      </c>
    </row>
    <row r="12" spans="1:23">
      <c r="Q12" s="31" t="s">
        <v>4659</v>
      </c>
      <c r="R12" s="31"/>
      <c r="S12" s="31"/>
      <c r="T12" s="31"/>
      <c r="U12" s="31"/>
      <c r="V12" s="31"/>
      <c r="W12" s="31"/>
    </row>
  </sheetData>
  <mergeCells count="6">
    <mergeCell ref="A1:G1"/>
    <mergeCell ref="J2:O2"/>
    <mergeCell ref="J6:O6"/>
    <mergeCell ref="J7:O7"/>
    <mergeCell ref="Q2:W2"/>
    <mergeCell ref="Q12:W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79"/>
  <sheetViews>
    <sheetView topLeftCell="A56" zoomScaleNormal="100" workbookViewId="0">
      <selection activeCell="I78" sqref="I78"/>
    </sheetView>
  </sheetViews>
  <sheetFormatPr defaultRowHeight="15"/>
  <cols>
    <col min="2" max="2" width="37.7109375" bestFit="1" customWidth="1"/>
    <col min="3" max="6" width="13.42578125" bestFit="1" customWidth="1"/>
  </cols>
  <sheetData>
    <row r="5" spans="2:11">
      <c r="B5" t="s">
        <v>23</v>
      </c>
      <c r="C5" s="2">
        <v>4450.4399999999996</v>
      </c>
      <c r="D5" s="2">
        <v>3459.15</v>
      </c>
      <c r="E5" s="2">
        <v>5997.5</v>
      </c>
      <c r="F5" s="2">
        <v>5883.1</v>
      </c>
      <c r="H5">
        <f>C5/10000</f>
        <v>0.44504399999999994</v>
      </c>
      <c r="I5">
        <f t="shared" ref="I5:K5" si="0">D5/10000</f>
        <v>0.34591500000000003</v>
      </c>
      <c r="J5">
        <f t="shared" si="0"/>
        <v>0.59975000000000001</v>
      </c>
      <c r="K5">
        <f t="shared" si="0"/>
        <v>0.58831</v>
      </c>
    </row>
    <row r="6" spans="2:11">
      <c r="B6" t="s">
        <v>137</v>
      </c>
      <c r="C6" s="2">
        <v>3998.23</v>
      </c>
      <c r="D6" s="2">
        <v>5005.8599999999997</v>
      </c>
      <c r="E6" s="2">
        <v>7995.46</v>
      </c>
      <c r="F6" s="2">
        <v>1816.09</v>
      </c>
      <c r="H6">
        <f t="shared" ref="H6:H67" si="1">C6/10000</f>
        <v>0.39982299999999998</v>
      </c>
      <c r="I6">
        <f t="shared" ref="I6:I67" si="2">D6/10000</f>
        <v>0.50058599999999998</v>
      </c>
      <c r="J6">
        <f t="shared" ref="J6:J67" si="3">E6/10000</f>
        <v>0.79954599999999998</v>
      </c>
      <c r="K6">
        <f t="shared" ref="K6:K67" si="4">F6/10000</f>
        <v>0.18160899999999999</v>
      </c>
    </row>
    <row r="7" spans="2:11">
      <c r="B7" t="s">
        <v>25</v>
      </c>
      <c r="C7" s="2">
        <v>3020.6</v>
      </c>
      <c r="D7" s="2">
        <v>5182.12</v>
      </c>
      <c r="E7" s="2">
        <v>4793.45</v>
      </c>
      <c r="F7" s="2">
        <v>6188.43</v>
      </c>
      <c r="H7">
        <f t="shared" si="1"/>
        <v>0.30206</v>
      </c>
      <c r="I7">
        <f t="shared" si="2"/>
        <v>0.51821200000000001</v>
      </c>
      <c r="J7">
        <f t="shared" si="3"/>
        <v>0.47934499999999997</v>
      </c>
      <c r="K7">
        <f t="shared" si="4"/>
        <v>0.61884300000000003</v>
      </c>
    </row>
    <row r="8" spans="2:11">
      <c r="B8" t="s">
        <v>48</v>
      </c>
      <c r="C8" s="2">
        <v>2999.54</v>
      </c>
      <c r="D8" s="2">
        <v>3000.19</v>
      </c>
      <c r="E8" s="2">
        <v>3000.3</v>
      </c>
      <c r="F8" s="2">
        <v>2499.8000000000002</v>
      </c>
      <c r="H8">
        <f t="shared" si="1"/>
        <v>0.299954</v>
      </c>
      <c r="I8">
        <f t="shared" si="2"/>
        <v>0.30001899999999998</v>
      </c>
      <c r="J8">
        <f t="shared" si="3"/>
        <v>0.30003000000000002</v>
      </c>
      <c r="K8">
        <f t="shared" si="4"/>
        <v>0.24998000000000001</v>
      </c>
    </row>
    <row r="9" spans="2:11">
      <c r="B9" t="s">
        <v>111</v>
      </c>
      <c r="C9" s="2">
        <v>3973.41</v>
      </c>
      <c r="D9" s="2">
        <v>4256.3100000000004</v>
      </c>
      <c r="E9" s="2">
        <v>5401.94</v>
      </c>
      <c r="F9" s="2">
        <v>5114.95</v>
      </c>
      <c r="H9">
        <f t="shared" si="1"/>
        <v>0.397341</v>
      </c>
      <c r="I9">
        <f t="shared" si="2"/>
        <v>0.42563100000000004</v>
      </c>
      <c r="J9">
        <f t="shared" si="3"/>
        <v>0.54019399999999995</v>
      </c>
      <c r="K9">
        <f t="shared" si="4"/>
        <v>0.51149500000000003</v>
      </c>
    </row>
    <row r="10" spans="2:11">
      <c r="B10" t="s">
        <v>66</v>
      </c>
      <c r="C10" s="2">
        <v>4769.43</v>
      </c>
      <c r="D10" s="2">
        <v>4814.49</v>
      </c>
      <c r="E10" s="2">
        <v>3893.05</v>
      </c>
      <c r="F10" s="2">
        <v>5397.47</v>
      </c>
      <c r="H10">
        <f t="shared" si="1"/>
        <v>0.47694300000000001</v>
      </c>
      <c r="I10">
        <f t="shared" si="2"/>
        <v>0.48144899999999996</v>
      </c>
      <c r="J10">
        <f t="shared" si="3"/>
        <v>0.38930500000000001</v>
      </c>
      <c r="K10">
        <f t="shared" si="4"/>
        <v>0.53974699999999998</v>
      </c>
    </row>
    <row r="11" spans="2:11">
      <c r="B11" t="s">
        <v>380</v>
      </c>
      <c r="C11" s="2">
        <v>3198.96</v>
      </c>
      <c r="D11" s="2">
        <v>3144.06</v>
      </c>
      <c r="E11" s="2">
        <v>3193.94</v>
      </c>
      <c r="F11" s="2">
        <v>3245.29</v>
      </c>
      <c r="H11">
        <f t="shared" si="1"/>
        <v>0.31989600000000001</v>
      </c>
      <c r="I11">
        <f t="shared" si="2"/>
        <v>0.31440600000000002</v>
      </c>
      <c r="J11">
        <f t="shared" si="3"/>
        <v>0.31939400000000001</v>
      </c>
      <c r="K11">
        <f t="shared" si="4"/>
        <v>0.32452900000000001</v>
      </c>
    </row>
    <row r="12" spans="2:11">
      <c r="B12" t="s">
        <v>311</v>
      </c>
      <c r="C12" s="2">
        <v>243.57</v>
      </c>
      <c r="D12" s="2">
        <v>261.62</v>
      </c>
      <c r="E12" s="2">
        <v>3732.83</v>
      </c>
      <c r="F12" s="2">
        <v>4198.5</v>
      </c>
      <c r="H12">
        <f t="shared" si="1"/>
        <v>2.4357E-2</v>
      </c>
      <c r="I12">
        <f t="shared" si="2"/>
        <v>2.6162000000000001E-2</v>
      </c>
      <c r="J12">
        <f t="shared" si="3"/>
        <v>0.37328299999999998</v>
      </c>
      <c r="K12">
        <f t="shared" si="4"/>
        <v>0.41985</v>
      </c>
    </row>
    <row r="13" spans="2:11">
      <c r="B13" t="s">
        <v>302</v>
      </c>
      <c r="C13" s="2">
        <v>1019.56</v>
      </c>
      <c r="D13" s="2">
        <v>1980.99</v>
      </c>
      <c r="E13" s="2">
        <v>1570.5</v>
      </c>
      <c r="F13" s="2">
        <v>1280.58</v>
      </c>
      <c r="H13">
        <f t="shared" si="1"/>
        <v>0.10195599999999999</v>
      </c>
      <c r="I13">
        <f t="shared" si="2"/>
        <v>0.198099</v>
      </c>
      <c r="J13">
        <f t="shared" si="3"/>
        <v>0.15705</v>
      </c>
      <c r="K13">
        <f t="shared" si="4"/>
        <v>0.12805800000000001</v>
      </c>
    </row>
    <row r="14" spans="2:11">
      <c r="B14" t="s">
        <v>155</v>
      </c>
      <c r="C14" s="2">
        <v>4497.71</v>
      </c>
      <c r="D14" s="2">
        <v>4596.5</v>
      </c>
      <c r="E14" s="2">
        <v>4495.59</v>
      </c>
      <c r="F14" s="2">
        <v>4467.18</v>
      </c>
      <c r="H14">
        <f t="shared" si="1"/>
        <v>0.44977099999999998</v>
      </c>
      <c r="I14">
        <f t="shared" si="2"/>
        <v>0.45965</v>
      </c>
      <c r="J14">
        <f t="shared" si="3"/>
        <v>0.44955900000000004</v>
      </c>
      <c r="K14">
        <f t="shared" si="4"/>
        <v>0.446718</v>
      </c>
    </row>
    <row r="15" spans="2:11">
      <c r="B15" t="s">
        <v>30</v>
      </c>
      <c r="C15" s="2">
        <v>4487.49</v>
      </c>
      <c r="D15" s="2">
        <v>3979.41</v>
      </c>
      <c r="E15" s="2">
        <v>3999.79</v>
      </c>
      <c r="F15" s="2">
        <v>3991.1</v>
      </c>
      <c r="H15">
        <f t="shared" si="1"/>
        <v>0.44874899999999995</v>
      </c>
      <c r="I15">
        <f t="shared" si="2"/>
        <v>0.39794099999999999</v>
      </c>
      <c r="J15">
        <f t="shared" si="3"/>
        <v>0.39997899999999997</v>
      </c>
      <c r="K15">
        <f t="shared" si="4"/>
        <v>0.39910999999999996</v>
      </c>
    </row>
    <row r="16" spans="2:11">
      <c r="B16" t="s">
        <v>251</v>
      </c>
      <c r="C16" s="2">
        <v>4086.78</v>
      </c>
      <c r="D16" s="2">
        <v>3671.9</v>
      </c>
      <c r="E16" s="2">
        <v>4248.57</v>
      </c>
      <c r="F16" s="2">
        <v>3654.41</v>
      </c>
      <c r="H16">
        <f t="shared" si="1"/>
        <v>0.40867800000000004</v>
      </c>
      <c r="I16">
        <f t="shared" si="2"/>
        <v>0.36719000000000002</v>
      </c>
      <c r="J16">
        <f t="shared" si="3"/>
        <v>0.42485699999999998</v>
      </c>
      <c r="K16">
        <f t="shared" si="4"/>
        <v>0.36544099999999996</v>
      </c>
    </row>
    <row r="17" spans="2:11">
      <c r="B17" t="s">
        <v>177</v>
      </c>
      <c r="C17" s="2">
        <v>4900.8599999999997</v>
      </c>
      <c r="D17" s="2">
        <v>4917.7700000000004</v>
      </c>
      <c r="E17" s="2">
        <v>4697.6099999999997</v>
      </c>
      <c r="F17" s="2">
        <v>4720.17</v>
      </c>
      <c r="H17">
        <f t="shared" si="1"/>
        <v>0.49008599999999997</v>
      </c>
      <c r="I17">
        <f t="shared" si="2"/>
        <v>0.49177700000000002</v>
      </c>
      <c r="J17">
        <f t="shared" si="3"/>
        <v>0.46976099999999998</v>
      </c>
      <c r="K17">
        <f t="shared" si="4"/>
        <v>0.47201700000000002</v>
      </c>
    </row>
    <row r="18" spans="2:11">
      <c r="B18" t="s">
        <v>244</v>
      </c>
      <c r="C18" s="2">
        <v>3008.69</v>
      </c>
      <c r="D18" s="2">
        <v>2085.3200000000002</v>
      </c>
      <c r="E18" s="2">
        <v>2000.02</v>
      </c>
      <c r="F18" s="2">
        <v>2560.42</v>
      </c>
      <c r="H18">
        <f t="shared" si="1"/>
        <v>0.300869</v>
      </c>
      <c r="I18">
        <f t="shared" si="2"/>
        <v>0.20853200000000002</v>
      </c>
      <c r="J18">
        <f t="shared" si="3"/>
        <v>0.20000199999999999</v>
      </c>
      <c r="K18">
        <f t="shared" si="4"/>
        <v>0.25604199999999999</v>
      </c>
    </row>
    <row r="19" spans="2:11">
      <c r="B19" t="s">
        <v>134</v>
      </c>
      <c r="C19" s="2">
        <v>3465.31</v>
      </c>
      <c r="D19" s="2">
        <v>3786.19</v>
      </c>
      <c r="E19" s="2">
        <v>3777.78</v>
      </c>
      <c r="F19" s="2">
        <v>3354.97</v>
      </c>
      <c r="H19">
        <f t="shared" si="1"/>
        <v>0.34653099999999998</v>
      </c>
      <c r="I19">
        <f t="shared" si="2"/>
        <v>0.37861899999999998</v>
      </c>
      <c r="J19">
        <f t="shared" si="3"/>
        <v>0.377778</v>
      </c>
      <c r="K19">
        <f t="shared" si="4"/>
        <v>0.33549699999999999</v>
      </c>
    </row>
    <row r="20" spans="2:11">
      <c r="B20" t="s">
        <v>32</v>
      </c>
      <c r="C20" s="2">
        <v>2999.97</v>
      </c>
      <c r="D20" s="2">
        <v>4000.02</v>
      </c>
      <c r="E20" s="2">
        <v>3437.96</v>
      </c>
      <c r="F20" s="2">
        <v>5000</v>
      </c>
      <c r="H20">
        <f t="shared" si="1"/>
        <v>0.29999699999999996</v>
      </c>
      <c r="I20">
        <f t="shared" si="2"/>
        <v>0.40000200000000002</v>
      </c>
      <c r="J20">
        <f t="shared" si="3"/>
        <v>0.34379599999999999</v>
      </c>
      <c r="K20">
        <f t="shared" si="4"/>
        <v>0.5</v>
      </c>
    </row>
    <row r="21" spans="2:11">
      <c r="B21" t="s">
        <v>35</v>
      </c>
      <c r="C21" s="2">
        <v>4988.22</v>
      </c>
      <c r="D21" s="2">
        <v>4976.18</v>
      </c>
      <c r="E21" s="2">
        <v>4969.78</v>
      </c>
      <c r="F21" s="2">
        <v>4976.0200000000004</v>
      </c>
      <c r="H21">
        <f t="shared" si="1"/>
        <v>0.49882200000000004</v>
      </c>
      <c r="I21">
        <f t="shared" si="2"/>
        <v>0.497618</v>
      </c>
      <c r="J21">
        <f t="shared" si="3"/>
        <v>0.49697799999999998</v>
      </c>
      <c r="K21">
        <f t="shared" si="4"/>
        <v>0.49760200000000004</v>
      </c>
    </row>
    <row r="22" spans="2:11">
      <c r="B22" t="s">
        <v>95</v>
      </c>
      <c r="C22" s="2">
        <v>2475.59</v>
      </c>
      <c r="D22" s="2">
        <v>2493.2199999999998</v>
      </c>
      <c r="E22" s="2">
        <v>3985.51</v>
      </c>
      <c r="F22" s="2">
        <v>4994.08</v>
      </c>
      <c r="H22">
        <f t="shared" si="1"/>
        <v>0.247559</v>
      </c>
      <c r="I22">
        <f t="shared" si="2"/>
        <v>0.24932199999999999</v>
      </c>
      <c r="J22">
        <f t="shared" si="3"/>
        <v>0.39855100000000004</v>
      </c>
      <c r="K22">
        <f t="shared" si="4"/>
        <v>0.49940800000000002</v>
      </c>
    </row>
    <row r="23" spans="2:11">
      <c r="B23" t="s">
        <v>219</v>
      </c>
      <c r="C23" s="2">
        <v>4809.1899999999996</v>
      </c>
      <c r="D23" s="2">
        <v>4865.3900000000003</v>
      </c>
      <c r="E23" s="2">
        <v>7581.59</v>
      </c>
      <c r="F23" s="2">
        <v>4705.9799999999996</v>
      </c>
      <c r="H23">
        <f t="shared" si="1"/>
        <v>0.48091899999999999</v>
      </c>
      <c r="I23">
        <f t="shared" si="2"/>
        <v>0.48653900000000005</v>
      </c>
      <c r="J23">
        <f t="shared" si="3"/>
        <v>0.75815900000000003</v>
      </c>
      <c r="K23">
        <f t="shared" si="4"/>
        <v>0.47059799999999996</v>
      </c>
    </row>
    <row r="24" spans="2:11">
      <c r="B24" t="s">
        <v>252</v>
      </c>
      <c r="C24" s="2">
        <v>5680.1</v>
      </c>
      <c r="D24" s="2">
        <v>7441.46</v>
      </c>
      <c r="E24" s="2">
        <v>6157.7</v>
      </c>
      <c r="F24" s="2">
        <v>9822.5</v>
      </c>
      <c r="H24">
        <f t="shared" si="1"/>
        <v>0.56801000000000001</v>
      </c>
      <c r="I24">
        <f t="shared" si="2"/>
        <v>0.74414599999999997</v>
      </c>
      <c r="J24">
        <f t="shared" si="3"/>
        <v>0.61576999999999993</v>
      </c>
      <c r="K24">
        <f t="shared" si="4"/>
        <v>0.98224999999999996</v>
      </c>
    </row>
    <row r="25" spans="2:11">
      <c r="B25" t="s">
        <v>261</v>
      </c>
      <c r="C25" s="2">
        <v>7246.66</v>
      </c>
      <c r="D25" s="2">
        <v>6365.64</v>
      </c>
      <c r="E25" s="2">
        <v>6209.89</v>
      </c>
      <c r="F25" s="2">
        <v>6035.06</v>
      </c>
      <c r="H25">
        <f t="shared" si="1"/>
        <v>0.72466600000000003</v>
      </c>
      <c r="I25">
        <f t="shared" si="2"/>
        <v>0.63656400000000002</v>
      </c>
      <c r="J25">
        <f t="shared" si="3"/>
        <v>0.62098900000000001</v>
      </c>
      <c r="K25">
        <f t="shared" si="4"/>
        <v>0.60350599999999999</v>
      </c>
    </row>
    <row r="26" spans="2:11">
      <c r="B26" t="s">
        <v>254</v>
      </c>
      <c r="C26" s="2">
        <v>3599.61</v>
      </c>
      <c r="D26" s="2">
        <v>3343.81</v>
      </c>
      <c r="E26" s="2">
        <v>4189.1000000000004</v>
      </c>
      <c r="F26" s="2">
        <v>41.1</v>
      </c>
      <c r="H26">
        <f t="shared" si="1"/>
        <v>0.35996100000000003</v>
      </c>
      <c r="I26">
        <f t="shared" si="2"/>
        <v>0.33438099999999998</v>
      </c>
      <c r="J26">
        <f t="shared" si="3"/>
        <v>0.41891000000000006</v>
      </c>
      <c r="K26">
        <f>F26/10000</f>
        <v>4.1099999999999999E-3</v>
      </c>
    </row>
    <row r="27" spans="2:11">
      <c r="B27" t="s">
        <v>255</v>
      </c>
      <c r="C27" s="2">
        <v>10067.15</v>
      </c>
      <c r="D27" s="2">
        <v>10418.25</v>
      </c>
      <c r="E27" s="2">
        <v>9955.0300000000007</v>
      </c>
      <c r="F27" s="2">
        <v>7703.16</v>
      </c>
      <c r="H27">
        <f t="shared" si="1"/>
        <v>1.006715</v>
      </c>
      <c r="I27">
        <f t="shared" si="2"/>
        <v>1.041825</v>
      </c>
      <c r="J27">
        <f t="shared" si="3"/>
        <v>0.99550300000000003</v>
      </c>
      <c r="K27">
        <f t="shared" si="4"/>
        <v>0.770316</v>
      </c>
    </row>
    <row r="28" spans="2:11">
      <c r="B28" t="s">
        <v>37</v>
      </c>
      <c r="C28" s="2">
        <v>9541.7800000000007</v>
      </c>
      <c r="D28" s="2">
        <v>5055.0200000000004</v>
      </c>
      <c r="E28" s="2">
        <v>5229.3599999999997</v>
      </c>
      <c r="F28" s="2">
        <v>3282.2</v>
      </c>
      <c r="H28">
        <f t="shared" si="1"/>
        <v>0.95417800000000008</v>
      </c>
      <c r="I28">
        <f t="shared" si="2"/>
        <v>0.50550200000000001</v>
      </c>
      <c r="J28">
        <f t="shared" si="3"/>
        <v>0.52293599999999996</v>
      </c>
      <c r="K28">
        <f t="shared" si="4"/>
        <v>0.32821999999999996</v>
      </c>
    </row>
    <row r="29" spans="2:11">
      <c r="B29" t="s">
        <v>115</v>
      </c>
      <c r="C29" s="2">
        <v>9816.0400000000009</v>
      </c>
      <c r="D29" s="2">
        <v>9850.36</v>
      </c>
      <c r="E29" s="2">
        <v>10069.48</v>
      </c>
      <c r="F29" s="2">
        <v>10155.52</v>
      </c>
      <c r="H29">
        <f t="shared" si="1"/>
        <v>0.98160400000000003</v>
      </c>
      <c r="I29">
        <f t="shared" si="2"/>
        <v>0.98503600000000002</v>
      </c>
      <c r="J29">
        <f t="shared" si="3"/>
        <v>1.006948</v>
      </c>
      <c r="K29">
        <f t="shared" si="4"/>
        <v>1.015552</v>
      </c>
    </row>
    <row r="30" spans="2:11">
      <c r="B30" t="s">
        <v>161</v>
      </c>
      <c r="C30" s="2">
        <v>8016.97</v>
      </c>
      <c r="D30" s="2">
        <v>13849.55</v>
      </c>
      <c r="E30" s="2">
        <v>6154.99</v>
      </c>
      <c r="F30" s="2">
        <v>5754.34</v>
      </c>
      <c r="H30">
        <f t="shared" si="1"/>
        <v>0.80169699999999999</v>
      </c>
      <c r="I30">
        <f t="shared" si="2"/>
        <v>1.3849549999999999</v>
      </c>
      <c r="J30">
        <f t="shared" si="3"/>
        <v>0.61549900000000002</v>
      </c>
      <c r="K30">
        <f t="shared" si="4"/>
        <v>0.575434</v>
      </c>
    </row>
    <row r="31" spans="2:11">
      <c r="B31" t="s">
        <v>117</v>
      </c>
      <c r="C31" s="2">
        <v>4969.97</v>
      </c>
      <c r="D31" s="2">
        <v>7853.34</v>
      </c>
      <c r="E31" s="2">
        <v>5351.17</v>
      </c>
      <c r="F31" s="2">
        <v>4793.78</v>
      </c>
      <c r="H31">
        <f t="shared" si="1"/>
        <v>0.49699700000000002</v>
      </c>
      <c r="I31">
        <f t="shared" si="2"/>
        <v>0.78533399999999998</v>
      </c>
      <c r="J31">
        <f t="shared" si="3"/>
        <v>0.53511699999999995</v>
      </c>
      <c r="K31">
        <f t="shared" si="4"/>
        <v>0.47937799999999997</v>
      </c>
    </row>
    <row r="32" spans="2:11">
      <c r="B32" t="s">
        <v>84</v>
      </c>
      <c r="C32" s="2">
        <v>5529.08</v>
      </c>
      <c r="D32" s="2">
        <v>893.67</v>
      </c>
      <c r="E32" s="2">
        <v>1804.4</v>
      </c>
      <c r="F32" s="2">
        <v>810.09</v>
      </c>
      <c r="H32">
        <f t="shared" si="1"/>
        <v>0.55290799999999996</v>
      </c>
      <c r="I32">
        <f t="shared" si="2"/>
        <v>8.9367000000000002E-2</v>
      </c>
      <c r="J32">
        <f t="shared" si="3"/>
        <v>0.18044000000000002</v>
      </c>
      <c r="K32">
        <f t="shared" si="4"/>
        <v>8.1008999999999998E-2</v>
      </c>
    </row>
    <row r="33" spans="2:11">
      <c r="B33" t="s">
        <v>225</v>
      </c>
      <c r="C33" s="2">
        <v>2589.59</v>
      </c>
      <c r="D33" s="2">
        <v>1807.59</v>
      </c>
      <c r="E33" s="2">
        <v>6245.63</v>
      </c>
      <c r="F33" s="2">
        <v>2823.9</v>
      </c>
      <c r="H33">
        <f t="shared" si="1"/>
        <v>0.25895899999999999</v>
      </c>
      <c r="I33">
        <f t="shared" si="2"/>
        <v>0.180759</v>
      </c>
      <c r="J33">
        <f t="shared" si="3"/>
        <v>0.62456299999999998</v>
      </c>
      <c r="K33">
        <f t="shared" si="4"/>
        <v>0.28239000000000003</v>
      </c>
    </row>
    <row r="34" spans="2:11">
      <c r="B34" t="s">
        <v>195</v>
      </c>
      <c r="C34" s="2">
        <v>2500.02</v>
      </c>
      <c r="D34" s="2">
        <v>2510.23</v>
      </c>
      <c r="E34" s="2">
        <v>2493.84</v>
      </c>
      <c r="F34" s="2">
        <v>2048.02</v>
      </c>
      <c r="H34">
        <f t="shared" si="1"/>
        <v>0.250002</v>
      </c>
      <c r="I34">
        <f t="shared" si="2"/>
        <v>0.251023</v>
      </c>
      <c r="J34">
        <f t="shared" si="3"/>
        <v>0.24938400000000002</v>
      </c>
      <c r="K34">
        <f t="shared" si="4"/>
        <v>0.20480200000000001</v>
      </c>
    </row>
    <row r="35" spans="2:11">
      <c r="B35" t="s">
        <v>148</v>
      </c>
      <c r="C35" s="2">
        <v>6635.67</v>
      </c>
      <c r="D35" s="2">
        <v>3055.52</v>
      </c>
      <c r="E35" s="2">
        <v>9977.68</v>
      </c>
      <c r="F35" s="2">
        <v>864.86</v>
      </c>
      <c r="H35">
        <f t="shared" si="1"/>
        <v>0.66356700000000002</v>
      </c>
      <c r="I35">
        <f t="shared" si="2"/>
        <v>0.30555199999999999</v>
      </c>
      <c r="J35">
        <f t="shared" si="3"/>
        <v>0.99776799999999999</v>
      </c>
      <c r="K35">
        <f t="shared" si="4"/>
        <v>8.6486000000000007E-2</v>
      </c>
    </row>
    <row r="36" spans="2:11">
      <c r="B36" t="s">
        <v>88</v>
      </c>
      <c r="C36" s="2">
        <v>7961.67</v>
      </c>
      <c r="D36" s="2">
        <v>9994.66</v>
      </c>
      <c r="E36" s="2">
        <v>10030.99</v>
      </c>
      <c r="F36" s="2">
        <v>821.31</v>
      </c>
      <c r="H36">
        <f t="shared" si="1"/>
        <v>0.79616699999999996</v>
      </c>
      <c r="I36">
        <f t="shared" si="2"/>
        <v>0.99946599999999997</v>
      </c>
      <c r="J36">
        <f t="shared" si="3"/>
        <v>1.003099</v>
      </c>
      <c r="K36">
        <f t="shared" si="4"/>
        <v>8.2130999999999996E-2</v>
      </c>
    </row>
    <row r="37" spans="2:11">
      <c r="B37" t="s">
        <v>83</v>
      </c>
      <c r="C37" s="2">
        <v>2482.09</v>
      </c>
      <c r="D37" s="2">
        <v>2466.4299999999998</v>
      </c>
      <c r="E37" s="2">
        <v>3458.55</v>
      </c>
      <c r="F37" s="2">
        <v>5220.1899999999996</v>
      </c>
      <c r="H37">
        <f t="shared" si="1"/>
        <v>0.24820900000000001</v>
      </c>
      <c r="I37">
        <f t="shared" si="2"/>
        <v>0.24664299999999997</v>
      </c>
      <c r="J37">
        <f t="shared" si="3"/>
        <v>0.34585500000000002</v>
      </c>
      <c r="K37">
        <f t="shared" si="4"/>
        <v>0.52201900000000001</v>
      </c>
    </row>
    <row r="38" spans="2:11">
      <c r="B38" t="s">
        <v>80</v>
      </c>
      <c r="C38" s="2">
        <v>3000</v>
      </c>
      <c r="D38" s="2">
        <v>7500</v>
      </c>
      <c r="E38" s="2">
        <v>7125.55</v>
      </c>
      <c r="F38" s="2">
        <v>9005.07</v>
      </c>
      <c r="H38">
        <f t="shared" si="1"/>
        <v>0.3</v>
      </c>
      <c r="I38">
        <f t="shared" si="2"/>
        <v>0.75</v>
      </c>
      <c r="J38">
        <f t="shared" si="3"/>
        <v>0.71255500000000005</v>
      </c>
      <c r="K38">
        <f t="shared" si="4"/>
        <v>0.90050699999999995</v>
      </c>
    </row>
    <row r="39" spans="2:11">
      <c r="B39" t="s">
        <v>164</v>
      </c>
      <c r="C39" s="2">
        <v>6595.69</v>
      </c>
      <c r="D39" s="2">
        <v>5755.49</v>
      </c>
      <c r="E39" s="2">
        <v>5908.71</v>
      </c>
      <c r="F39" s="2">
        <v>6521.03</v>
      </c>
      <c r="H39">
        <f t="shared" si="1"/>
        <v>0.65956899999999996</v>
      </c>
      <c r="I39">
        <f t="shared" si="2"/>
        <v>0.57554899999999998</v>
      </c>
      <c r="J39">
        <f t="shared" si="3"/>
        <v>0.59087100000000004</v>
      </c>
      <c r="K39">
        <f t="shared" si="4"/>
        <v>0.65210299999999999</v>
      </c>
    </row>
    <row r="40" spans="2:11">
      <c r="B40" t="s">
        <v>166</v>
      </c>
      <c r="C40" s="2">
        <v>3342.4</v>
      </c>
      <c r="D40" s="2">
        <v>2738.08</v>
      </c>
      <c r="E40" s="2">
        <v>4680.22</v>
      </c>
      <c r="F40" s="2">
        <v>4408.76</v>
      </c>
      <c r="H40">
        <f t="shared" si="1"/>
        <v>0.33423999999999998</v>
      </c>
      <c r="I40">
        <f t="shared" si="2"/>
        <v>0.273808</v>
      </c>
      <c r="J40">
        <f t="shared" si="3"/>
        <v>0.46802200000000005</v>
      </c>
      <c r="K40">
        <f t="shared" si="4"/>
        <v>0.44087600000000005</v>
      </c>
    </row>
    <row r="41" spans="2:11">
      <c r="B41" t="s">
        <v>156</v>
      </c>
      <c r="C41" s="2">
        <v>2604.0100000000002</v>
      </c>
      <c r="D41" s="2">
        <v>1646.78</v>
      </c>
      <c r="E41" s="2">
        <v>1762.51</v>
      </c>
      <c r="F41" s="2">
        <v>1991.43</v>
      </c>
      <c r="H41">
        <f t="shared" si="1"/>
        <v>0.26040100000000005</v>
      </c>
      <c r="I41">
        <f t="shared" si="2"/>
        <v>0.16467799999999999</v>
      </c>
      <c r="J41">
        <f t="shared" si="3"/>
        <v>0.17625099999999999</v>
      </c>
      <c r="K41">
        <f t="shared" si="4"/>
        <v>0.19914300000000001</v>
      </c>
    </row>
    <row r="42" spans="2:11">
      <c r="B42" t="s">
        <v>82</v>
      </c>
      <c r="C42" s="2">
        <v>4484.22</v>
      </c>
      <c r="D42" s="2">
        <v>4875.5</v>
      </c>
      <c r="E42" s="2">
        <v>4960.07</v>
      </c>
      <c r="F42" s="2">
        <v>3739.89</v>
      </c>
      <c r="H42">
        <f t="shared" si="1"/>
        <v>0.44842200000000004</v>
      </c>
      <c r="I42">
        <f t="shared" si="2"/>
        <v>0.48754999999999998</v>
      </c>
      <c r="J42">
        <f t="shared" si="3"/>
        <v>0.49600699999999998</v>
      </c>
      <c r="K42">
        <f t="shared" si="4"/>
        <v>0.37398899999999996</v>
      </c>
    </row>
    <row r="43" spans="2:11">
      <c r="B43" t="s">
        <v>15</v>
      </c>
      <c r="C43" s="2">
        <v>1760.43</v>
      </c>
      <c r="D43" s="2">
        <v>1407.58</v>
      </c>
      <c r="E43" s="2">
        <v>1907.34</v>
      </c>
      <c r="F43" s="2">
        <v>1924.21</v>
      </c>
      <c r="H43">
        <f t="shared" si="1"/>
        <v>0.17604300000000001</v>
      </c>
      <c r="I43">
        <f t="shared" si="2"/>
        <v>0.14075799999999999</v>
      </c>
      <c r="J43">
        <f t="shared" si="3"/>
        <v>0.19073399999999999</v>
      </c>
      <c r="K43">
        <f t="shared" si="4"/>
        <v>0.19242100000000001</v>
      </c>
    </row>
    <row r="44" spans="2:11">
      <c r="B44" t="s">
        <v>140</v>
      </c>
      <c r="C44" s="2">
        <v>3020.39</v>
      </c>
      <c r="D44" s="2">
        <v>3027.38</v>
      </c>
      <c r="E44" s="2">
        <v>2301.13</v>
      </c>
      <c r="F44" s="2">
        <v>4680.72</v>
      </c>
      <c r="H44">
        <f t="shared" si="1"/>
        <v>0.302039</v>
      </c>
      <c r="I44">
        <f t="shared" si="2"/>
        <v>0.30273800000000001</v>
      </c>
      <c r="J44">
        <f t="shared" si="3"/>
        <v>0.23011300000000001</v>
      </c>
      <c r="K44">
        <f t="shared" si="4"/>
        <v>0.46807200000000004</v>
      </c>
    </row>
    <row r="45" spans="2:11">
      <c r="B45" t="s">
        <v>4</v>
      </c>
      <c r="C45" s="2">
        <v>431.34</v>
      </c>
      <c r="D45" s="2">
        <v>547.42999999999995</v>
      </c>
      <c r="E45" s="2">
        <v>575.28</v>
      </c>
      <c r="F45" s="2">
        <v>756.51</v>
      </c>
      <c r="H45">
        <f t="shared" si="1"/>
        <v>4.3133999999999999E-2</v>
      </c>
      <c r="I45">
        <f t="shared" si="2"/>
        <v>5.4742999999999993E-2</v>
      </c>
      <c r="J45">
        <f t="shared" si="3"/>
        <v>5.7527999999999996E-2</v>
      </c>
      <c r="K45">
        <f t="shared" si="4"/>
        <v>7.5650999999999996E-2</v>
      </c>
    </row>
    <row r="46" spans="2:11">
      <c r="B46" t="s">
        <v>135</v>
      </c>
      <c r="C46" s="2">
        <v>4056.8</v>
      </c>
      <c r="D46" s="2">
        <v>7291</v>
      </c>
      <c r="E46" s="2">
        <v>7490.22</v>
      </c>
      <c r="F46" s="2">
        <v>7478.63</v>
      </c>
      <c r="H46">
        <f t="shared" si="1"/>
        <v>0.40568000000000004</v>
      </c>
      <c r="I46">
        <f t="shared" si="2"/>
        <v>0.72909999999999997</v>
      </c>
      <c r="J46">
        <f t="shared" si="3"/>
        <v>0.74902200000000008</v>
      </c>
      <c r="K46">
        <f t="shared" si="4"/>
        <v>0.74786300000000006</v>
      </c>
    </row>
    <row r="47" spans="2:11">
      <c r="B47" t="s">
        <v>75</v>
      </c>
      <c r="C47" s="2">
        <v>7000.01</v>
      </c>
      <c r="D47" s="2">
        <v>9000</v>
      </c>
      <c r="E47" s="2">
        <v>8999.9</v>
      </c>
      <c r="F47" s="2">
        <v>8177.95</v>
      </c>
      <c r="H47">
        <f t="shared" si="1"/>
        <v>0.70000099999999998</v>
      </c>
      <c r="I47">
        <f t="shared" si="2"/>
        <v>0.9</v>
      </c>
      <c r="J47">
        <f t="shared" si="3"/>
        <v>0.89998999999999996</v>
      </c>
      <c r="K47">
        <f t="shared" si="4"/>
        <v>0.81779499999999994</v>
      </c>
    </row>
    <row r="48" spans="2:11">
      <c r="B48" t="s">
        <v>74</v>
      </c>
      <c r="C48" s="2">
        <v>3498.82</v>
      </c>
      <c r="D48" s="2">
        <v>1490.69</v>
      </c>
      <c r="E48" s="2">
        <v>8562.66</v>
      </c>
      <c r="F48" s="2">
        <v>5671.45</v>
      </c>
      <c r="H48">
        <f t="shared" si="1"/>
        <v>0.34988200000000003</v>
      </c>
      <c r="I48">
        <f t="shared" si="2"/>
        <v>0.14906900000000001</v>
      </c>
      <c r="J48">
        <f t="shared" si="3"/>
        <v>0.85626599999999997</v>
      </c>
      <c r="K48">
        <f t="shared" si="4"/>
        <v>0.56714500000000001</v>
      </c>
    </row>
    <row r="49" spans="2:11">
      <c r="B49" t="s">
        <v>241</v>
      </c>
      <c r="C49" s="2">
        <v>7853.94</v>
      </c>
      <c r="D49" s="2">
        <v>7440.85</v>
      </c>
      <c r="E49" s="2">
        <v>7429.02</v>
      </c>
      <c r="F49" s="2">
        <v>3715.5</v>
      </c>
      <c r="H49">
        <f t="shared" si="1"/>
        <v>0.78539399999999993</v>
      </c>
      <c r="I49">
        <f t="shared" si="2"/>
        <v>0.744085</v>
      </c>
      <c r="J49">
        <f t="shared" si="3"/>
        <v>0.74290200000000006</v>
      </c>
      <c r="K49">
        <f t="shared" si="4"/>
        <v>0.37154999999999999</v>
      </c>
    </row>
    <row r="50" spans="2:11">
      <c r="B50" t="s">
        <v>190</v>
      </c>
      <c r="C50" s="2">
        <v>3956.29</v>
      </c>
      <c r="D50" s="2">
        <v>5006.17</v>
      </c>
      <c r="E50" s="2">
        <v>5013.32</v>
      </c>
      <c r="F50" s="2">
        <v>3007.67</v>
      </c>
      <c r="H50">
        <f t="shared" si="1"/>
        <v>0.39562900000000001</v>
      </c>
      <c r="I50">
        <f t="shared" si="2"/>
        <v>0.50061699999999998</v>
      </c>
      <c r="J50">
        <f t="shared" si="3"/>
        <v>0.501332</v>
      </c>
      <c r="K50">
        <f t="shared" si="4"/>
        <v>0.30076700000000001</v>
      </c>
    </row>
    <row r="51" spans="2:11">
      <c r="B51" t="s">
        <v>284</v>
      </c>
      <c r="C51" s="2">
        <v>5297.11</v>
      </c>
      <c r="D51" s="2">
        <v>6012.49</v>
      </c>
      <c r="E51" s="2">
        <v>6049.1</v>
      </c>
      <c r="F51" s="2">
        <v>6860.57</v>
      </c>
      <c r="H51">
        <f t="shared" si="1"/>
        <v>0.52971099999999993</v>
      </c>
      <c r="I51">
        <f t="shared" si="2"/>
        <v>0.60124900000000003</v>
      </c>
      <c r="J51">
        <f t="shared" si="3"/>
        <v>0.60491000000000006</v>
      </c>
      <c r="K51">
        <f t="shared" si="4"/>
        <v>0.68605699999999992</v>
      </c>
    </row>
    <row r="52" spans="2:11">
      <c r="B52" t="s">
        <v>86</v>
      </c>
      <c r="C52" s="2">
        <v>7099.56</v>
      </c>
      <c r="D52" s="2">
        <v>4392.58</v>
      </c>
      <c r="E52" s="2">
        <v>5314.68</v>
      </c>
      <c r="F52" s="2">
        <v>3716.5</v>
      </c>
      <c r="H52">
        <f t="shared" si="1"/>
        <v>0.70995600000000003</v>
      </c>
      <c r="I52">
        <f t="shared" si="2"/>
        <v>0.43925799999999998</v>
      </c>
      <c r="J52">
        <f t="shared" si="3"/>
        <v>0.53146800000000005</v>
      </c>
      <c r="K52">
        <f t="shared" si="4"/>
        <v>0.37164999999999998</v>
      </c>
    </row>
    <row r="53" spans="2:11">
      <c r="B53" t="s">
        <v>119</v>
      </c>
      <c r="C53" s="2">
        <v>1745.33</v>
      </c>
      <c r="D53" s="2">
        <v>5686.72</v>
      </c>
      <c r="E53" s="2">
        <v>449.04</v>
      </c>
      <c r="F53" s="2">
        <v>319.38</v>
      </c>
      <c r="H53">
        <f t="shared" si="1"/>
        <v>0.17453299999999999</v>
      </c>
      <c r="I53">
        <f t="shared" si="2"/>
        <v>0.56867200000000007</v>
      </c>
      <c r="J53">
        <f t="shared" si="3"/>
        <v>4.4903999999999999E-2</v>
      </c>
      <c r="K53">
        <f t="shared" si="4"/>
        <v>3.1938000000000001E-2</v>
      </c>
    </row>
    <row r="54" spans="2:11">
      <c r="B54" t="s">
        <v>58</v>
      </c>
      <c r="C54" s="2">
        <v>4033.7</v>
      </c>
      <c r="D54" s="2">
        <v>4020.77</v>
      </c>
      <c r="E54" s="2">
        <v>4023.12</v>
      </c>
      <c r="F54" s="2">
        <v>3787.68</v>
      </c>
      <c r="H54">
        <f t="shared" si="1"/>
        <v>0.40337000000000001</v>
      </c>
      <c r="I54">
        <f t="shared" si="2"/>
        <v>0.40207700000000002</v>
      </c>
      <c r="J54">
        <f t="shared" si="3"/>
        <v>0.402312</v>
      </c>
      <c r="K54">
        <f t="shared" si="4"/>
        <v>0.37876799999999999</v>
      </c>
    </row>
    <row r="55" spans="2:11">
      <c r="B55" t="s">
        <v>26</v>
      </c>
      <c r="C55" s="2">
        <v>9336.2999999999993</v>
      </c>
      <c r="D55" s="2">
        <v>3245.61</v>
      </c>
      <c r="E55" s="2">
        <v>1769.2</v>
      </c>
      <c r="F55" s="2">
        <v>7391.13</v>
      </c>
      <c r="H55">
        <f t="shared" si="1"/>
        <v>0.93362999999999996</v>
      </c>
      <c r="I55">
        <f t="shared" si="2"/>
        <v>0.32456099999999999</v>
      </c>
      <c r="J55">
        <f t="shared" si="3"/>
        <v>0.17691999999999999</v>
      </c>
      <c r="K55">
        <f t="shared" si="4"/>
        <v>0.73911300000000002</v>
      </c>
    </row>
    <row r="56" spans="2:11">
      <c r="B56" t="s">
        <v>46</v>
      </c>
      <c r="C56" s="2">
        <v>5924.94</v>
      </c>
      <c r="D56" s="2">
        <v>4960.51</v>
      </c>
      <c r="E56" s="2">
        <v>5725.4</v>
      </c>
      <c r="F56" s="2">
        <v>5203.3500000000004</v>
      </c>
      <c r="H56">
        <f t="shared" si="1"/>
        <v>0.59249399999999997</v>
      </c>
      <c r="I56">
        <f t="shared" si="2"/>
        <v>0.49605100000000002</v>
      </c>
      <c r="J56">
        <f t="shared" si="3"/>
        <v>0.57253999999999994</v>
      </c>
      <c r="K56">
        <f t="shared" si="4"/>
        <v>0.52033499999999999</v>
      </c>
    </row>
    <row r="57" spans="2:11">
      <c r="B57" t="s">
        <v>209</v>
      </c>
      <c r="C57" s="2">
        <v>1506.2</v>
      </c>
      <c r="D57" s="2">
        <v>1345.28</v>
      </c>
      <c r="E57" s="2">
        <v>1355.25</v>
      </c>
      <c r="F57" s="2">
        <v>2072.75</v>
      </c>
      <c r="H57">
        <f t="shared" si="1"/>
        <v>0.15062</v>
      </c>
      <c r="I57">
        <f t="shared" si="2"/>
        <v>0.13452800000000001</v>
      </c>
      <c r="J57">
        <f t="shared" si="3"/>
        <v>0.13552500000000001</v>
      </c>
      <c r="K57">
        <f t="shared" si="4"/>
        <v>0.20727499999999999</v>
      </c>
    </row>
    <row r="58" spans="2:11">
      <c r="B58" t="s">
        <v>97</v>
      </c>
      <c r="C58" s="2">
        <v>2828.05</v>
      </c>
      <c r="D58" s="2">
        <v>2544.27</v>
      </c>
      <c r="E58" s="2">
        <v>2753.47</v>
      </c>
      <c r="F58" s="2">
        <v>2897.93</v>
      </c>
      <c r="H58">
        <f t="shared" si="1"/>
        <v>0.28280500000000003</v>
      </c>
      <c r="I58">
        <f t="shared" si="2"/>
        <v>0.25442700000000001</v>
      </c>
      <c r="J58">
        <f t="shared" si="3"/>
        <v>0.27534699999999995</v>
      </c>
      <c r="K58">
        <f t="shared" si="4"/>
        <v>0.28979299999999997</v>
      </c>
    </row>
    <row r="59" spans="2:11">
      <c r="B59" t="s">
        <v>108</v>
      </c>
      <c r="C59" s="2">
        <v>7954.13</v>
      </c>
      <c r="D59" s="2">
        <v>1589.98</v>
      </c>
      <c r="E59" s="2">
        <v>2425.5300000000002</v>
      </c>
      <c r="F59" s="2">
        <v>2868.97</v>
      </c>
      <c r="H59">
        <f t="shared" si="1"/>
        <v>0.79541300000000004</v>
      </c>
      <c r="I59">
        <f t="shared" si="2"/>
        <v>0.158998</v>
      </c>
      <c r="J59">
        <f t="shared" si="3"/>
        <v>0.24255300000000002</v>
      </c>
      <c r="K59">
        <f t="shared" si="4"/>
        <v>0.28689699999999996</v>
      </c>
    </row>
    <row r="60" spans="2:11">
      <c r="B60" t="s">
        <v>126</v>
      </c>
      <c r="C60" s="2">
        <v>6396.6</v>
      </c>
      <c r="D60" s="2">
        <v>3755.44</v>
      </c>
      <c r="E60" s="2">
        <v>6867.3</v>
      </c>
      <c r="F60" s="2">
        <v>3058.14</v>
      </c>
      <c r="H60">
        <f t="shared" si="1"/>
        <v>0.63966000000000001</v>
      </c>
      <c r="I60">
        <f t="shared" si="2"/>
        <v>0.37554399999999999</v>
      </c>
      <c r="J60">
        <f t="shared" si="3"/>
        <v>0.68673000000000006</v>
      </c>
      <c r="K60">
        <f t="shared" si="4"/>
        <v>0.30581399999999997</v>
      </c>
    </row>
    <row r="61" spans="2:11">
      <c r="B61" t="s">
        <v>99</v>
      </c>
      <c r="C61" s="2">
        <v>3996.93</v>
      </c>
      <c r="D61" s="2">
        <v>4499.5600000000004</v>
      </c>
      <c r="E61" s="2">
        <v>3999.82</v>
      </c>
      <c r="F61" s="2">
        <v>3999.85</v>
      </c>
      <c r="H61">
        <f t="shared" si="1"/>
        <v>0.39969299999999996</v>
      </c>
      <c r="I61">
        <f t="shared" si="2"/>
        <v>0.44995600000000002</v>
      </c>
      <c r="J61">
        <f t="shared" si="3"/>
        <v>0.399982</v>
      </c>
      <c r="K61">
        <f t="shared" si="4"/>
        <v>0.39998499999999998</v>
      </c>
    </row>
    <row r="62" spans="2:11">
      <c r="B62" t="s">
        <v>139</v>
      </c>
      <c r="C62" s="2">
        <v>4354.63</v>
      </c>
      <c r="D62" s="2">
        <v>9768.93</v>
      </c>
      <c r="E62" s="2">
        <v>1530.59</v>
      </c>
      <c r="F62" s="2">
        <v>8161.33</v>
      </c>
      <c r="H62">
        <f t="shared" si="1"/>
        <v>0.43546299999999999</v>
      </c>
      <c r="I62">
        <f t="shared" si="2"/>
        <v>0.97689300000000001</v>
      </c>
      <c r="J62">
        <f t="shared" si="3"/>
        <v>0.153059</v>
      </c>
      <c r="K62">
        <f t="shared" si="4"/>
        <v>0.816133</v>
      </c>
    </row>
    <row r="63" spans="2:11">
      <c r="B63" t="s">
        <v>55</v>
      </c>
      <c r="C63" s="2">
        <v>1977.52</v>
      </c>
      <c r="D63" s="2">
        <v>3493.26</v>
      </c>
      <c r="E63" s="2">
        <v>3044.6</v>
      </c>
      <c r="F63" s="2">
        <v>2964.5</v>
      </c>
      <c r="H63">
        <f t="shared" si="1"/>
        <v>0.19775200000000001</v>
      </c>
      <c r="I63">
        <f t="shared" si="2"/>
        <v>0.34932600000000003</v>
      </c>
      <c r="J63">
        <f t="shared" si="3"/>
        <v>0.30446000000000001</v>
      </c>
      <c r="K63">
        <f t="shared" si="4"/>
        <v>0.29644999999999999</v>
      </c>
    </row>
    <row r="64" spans="2:11">
      <c r="B64" t="s">
        <v>101</v>
      </c>
      <c r="C64" s="2">
        <v>1500.15</v>
      </c>
      <c r="D64" s="2">
        <v>1356.01</v>
      </c>
      <c r="E64" s="2">
        <v>7498.62</v>
      </c>
      <c r="F64" s="2">
        <v>14987.36</v>
      </c>
      <c r="H64">
        <f t="shared" si="1"/>
        <v>0.15001500000000001</v>
      </c>
      <c r="I64">
        <f t="shared" si="2"/>
        <v>0.135601</v>
      </c>
      <c r="J64">
        <f t="shared" si="3"/>
        <v>0.74986200000000003</v>
      </c>
      <c r="K64">
        <f t="shared" si="4"/>
        <v>1.4987360000000001</v>
      </c>
    </row>
    <row r="65" spans="2:11">
      <c r="B65" t="s">
        <v>40</v>
      </c>
      <c r="C65" s="2">
        <v>8008.17</v>
      </c>
      <c r="D65" s="2">
        <v>5545.38</v>
      </c>
      <c r="E65" s="2">
        <v>7434.35</v>
      </c>
      <c r="F65" s="2">
        <v>7442.17</v>
      </c>
      <c r="H65">
        <f t="shared" si="1"/>
        <v>0.800817</v>
      </c>
      <c r="I65">
        <f t="shared" si="2"/>
        <v>0.55453799999999998</v>
      </c>
      <c r="J65">
        <f t="shared" si="3"/>
        <v>0.74343500000000007</v>
      </c>
      <c r="K65">
        <f t="shared" si="4"/>
        <v>0.74421700000000002</v>
      </c>
    </row>
    <row r="66" spans="2:11">
      <c r="B66" t="s">
        <v>226</v>
      </c>
      <c r="C66" s="2">
        <v>4195.62</v>
      </c>
      <c r="D66" s="2">
        <v>4137.5200000000004</v>
      </c>
      <c r="E66" s="2">
        <v>3515.43</v>
      </c>
      <c r="F66" s="2">
        <v>4059.44</v>
      </c>
      <c r="H66">
        <f t="shared" si="1"/>
        <v>0.41956199999999999</v>
      </c>
      <c r="I66">
        <f t="shared" si="2"/>
        <v>0.41375200000000006</v>
      </c>
      <c r="J66">
        <f t="shared" si="3"/>
        <v>0.35154299999999999</v>
      </c>
      <c r="K66">
        <f t="shared" si="4"/>
        <v>0.40594400000000003</v>
      </c>
    </row>
    <row r="67" spans="2:11">
      <c r="B67" t="s">
        <v>294</v>
      </c>
      <c r="C67" s="2">
        <v>3000.33</v>
      </c>
      <c r="D67" s="2">
        <v>2000.01</v>
      </c>
      <c r="E67" s="2">
        <v>2499.9899999999998</v>
      </c>
      <c r="F67" s="2">
        <v>500</v>
      </c>
      <c r="H67">
        <f t="shared" si="1"/>
        <v>0.30003299999999999</v>
      </c>
      <c r="I67">
        <f t="shared" si="2"/>
        <v>0.20000100000000001</v>
      </c>
      <c r="J67">
        <f t="shared" si="3"/>
        <v>0.24999899999999997</v>
      </c>
      <c r="K67">
        <f t="shared" si="4"/>
        <v>0.05</v>
      </c>
    </row>
    <row r="68" spans="2:11">
      <c r="B68" t="s">
        <v>60</v>
      </c>
      <c r="C68" s="2">
        <v>592.26</v>
      </c>
      <c r="D68" s="2">
        <v>992.42</v>
      </c>
      <c r="E68" s="2">
        <v>2131.08</v>
      </c>
      <c r="F68" s="2">
        <v>2269.2199999999998</v>
      </c>
      <c r="H68">
        <f t="shared" ref="H68:H78" si="5">C68/10000</f>
        <v>5.9226000000000001E-2</v>
      </c>
      <c r="I68">
        <f t="shared" ref="I68:I78" si="6">D68/10000</f>
        <v>9.9241999999999997E-2</v>
      </c>
      <c r="J68">
        <f t="shared" ref="J68:J78" si="7">E68/10000</f>
        <v>0.21310799999999999</v>
      </c>
      <c r="K68">
        <f t="shared" ref="K68:K78" si="8">F68/10000</f>
        <v>0.22692199999999998</v>
      </c>
    </row>
    <row r="69" spans="2:11">
      <c r="B69" t="s">
        <v>51</v>
      </c>
      <c r="C69" s="2">
        <v>2427.37</v>
      </c>
      <c r="D69" s="2">
        <v>1242.96</v>
      </c>
      <c r="E69" s="2">
        <v>4613.82</v>
      </c>
      <c r="F69" s="2">
        <v>3677.8</v>
      </c>
      <c r="H69">
        <f t="shared" si="5"/>
        <v>0.24273699999999998</v>
      </c>
      <c r="I69">
        <f t="shared" si="6"/>
        <v>0.124296</v>
      </c>
      <c r="J69">
        <f t="shared" si="7"/>
        <v>0.46138199999999996</v>
      </c>
      <c r="K69">
        <f t="shared" si="8"/>
        <v>0.36778</v>
      </c>
    </row>
    <row r="70" spans="2:11">
      <c r="B70" t="s">
        <v>147</v>
      </c>
      <c r="C70" s="2">
        <v>6880.64</v>
      </c>
      <c r="D70" s="2">
        <v>6972.91</v>
      </c>
      <c r="E70" s="2">
        <v>6536.72</v>
      </c>
      <c r="F70" s="2">
        <v>1940.51</v>
      </c>
      <c r="H70">
        <f t="shared" si="5"/>
        <v>0.68806400000000001</v>
      </c>
      <c r="I70">
        <f t="shared" si="6"/>
        <v>0.69729099999999999</v>
      </c>
      <c r="J70">
        <f t="shared" si="7"/>
        <v>0.65367200000000003</v>
      </c>
      <c r="K70">
        <f t="shared" si="8"/>
        <v>0.194051</v>
      </c>
    </row>
    <row r="71" spans="2:11">
      <c r="B71" t="s">
        <v>53</v>
      </c>
      <c r="C71" s="2">
        <v>8836.1299999999992</v>
      </c>
      <c r="D71" s="2">
        <v>13855.45</v>
      </c>
      <c r="E71" s="2">
        <v>17668.310000000001</v>
      </c>
      <c r="F71" s="2">
        <v>11031.83</v>
      </c>
      <c r="H71">
        <f t="shared" si="5"/>
        <v>0.88361299999999987</v>
      </c>
      <c r="I71">
        <f t="shared" si="6"/>
        <v>1.385545</v>
      </c>
      <c r="J71">
        <f t="shared" si="7"/>
        <v>1.766831</v>
      </c>
      <c r="K71">
        <f t="shared" si="8"/>
        <v>1.103183</v>
      </c>
    </row>
    <row r="72" spans="2:11">
      <c r="B72" t="s">
        <v>183</v>
      </c>
      <c r="C72" s="2">
        <v>3034.03</v>
      </c>
      <c r="D72" s="2">
        <v>2935.29</v>
      </c>
      <c r="E72" s="2">
        <v>2988.45</v>
      </c>
      <c r="F72" s="2">
        <v>2489.7600000000002</v>
      </c>
      <c r="H72">
        <f t="shared" si="5"/>
        <v>0.30340300000000003</v>
      </c>
      <c r="I72">
        <f t="shared" si="6"/>
        <v>0.29352899999999998</v>
      </c>
      <c r="J72">
        <f t="shared" si="7"/>
        <v>0.29884499999999997</v>
      </c>
      <c r="K72">
        <f t="shared" si="8"/>
        <v>0.24897600000000003</v>
      </c>
    </row>
    <row r="73" spans="2:11">
      <c r="B73" t="s">
        <v>45</v>
      </c>
      <c r="C73" s="2">
        <v>9547.48</v>
      </c>
      <c r="D73" s="2">
        <v>9541.01</v>
      </c>
      <c r="E73" s="2">
        <v>2036.17</v>
      </c>
      <c r="F73" s="2">
        <v>1516.48</v>
      </c>
      <c r="H73">
        <f t="shared" si="5"/>
        <v>0.95474799999999993</v>
      </c>
      <c r="I73">
        <f t="shared" si="6"/>
        <v>0.95410099999999998</v>
      </c>
      <c r="J73">
        <f t="shared" si="7"/>
        <v>0.20361700000000002</v>
      </c>
      <c r="K73">
        <f t="shared" si="8"/>
        <v>0.15164800000000001</v>
      </c>
    </row>
    <row r="74" spans="2:11">
      <c r="B74" t="s">
        <v>104</v>
      </c>
      <c r="C74" s="2">
        <v>4000</v>
      </c>
      <c r="D74" s="2">
        <v>4000.36</v>
      </c>
      <c r="E74" s="2">
        <v>3999.92</v>
      </c>
      <c r="F74" s="2">
        <f>F76</f>
        <v>2439.9499999999998</v>
      </c>
      <c r="H74">
        <f t="shared" si="5"/>
        <v>0.4</v>
      </c>
      <c r="I74">
        <f t="shared" si="6"/>
        <v>0.400036</v>
      </c>
      <c r="J74">
        <f t="shared" si="7"/>
        <v>0.39999200000000001</v>
      </c>
      <c r="K74">
        <f t="shared" si="8"/>
        <v>0.24399499999999999</v>
      </c>
    </row>
    <row r="75" spans="2:11">
      <c r="B75" t="s">
        <v>59</v>
      </c>
      <c r="C75" s="2">
        <v>3000</v>
      </c>
      <c r="D75" s="2">
        <v>2000</v>
      </c>
      <c r="E75" s="2">
        <v>1500</v>
      </c>
      <c r="F75" s="2">
        <v>500</v>
      </c>
      <c r="H75">
        <f t="shared" si="5"/>
        <v>0.3</v>
      </c>
      <c r="I75">
        <f t="shared" si="6"/>
        <v>0.2</v>
      </c>
      <c r="J75">
        <f t="shared" si="7"/>
        <v>0.15</v>
      </c>
      <c r="K75">
        <f t="shared" si="8"/>
        <v>0.05</v>
      </c>
    </row>
    <row r="76" spans="2:11">
      <c r="B76" t="s">
        <v>89</v>
      </c>
      <c r="C76" s="2">
        <v>2917.22</v>
      </c>
      <c r="D76" s="2">
        <v>2931.23</v>
      </c>
      <c r="E76" s="2">
        <v>3434.99</v>
      </c>
      <c r="F76" s="2">
        <v>2439.9499999999998</v>
      </c>
      <c r="H76">
        <f t="shared" si="5"/>
        <v>0.29172199999999998</v>
      </c>
      <c r="I76">
        <f t="shared" si="6"/>
        <v>0.29312300000000002</v>
      </c>
      <c r="J76">
        <f t="shared" si="7"/>
        <v>0.343499</v>
      </c>
      <c r="K76">
        <f t="shared" si="8"/>
        <v>0.24399499999999999</v>
      </c>
    </row>
    <row r="77" spans="2:11">
      <c r="B77" t="s">
        <v>41</v>
      </c>
      <c r="C77" s="2">
        <v>2802.79</v>
      </c>
      <c r="D77" s="2">
        <v>6047.21</v>
      </c>
      <c r="E77" s="2">
        <v>3665.72</v>
      </c>
      <c r="F77" s="2">
        <v>9405.6</v>
      </c>
      <c r="H77">
        <f t="shared" si="5"/>
        <v>0.280279</v>
      </c>
      <c r="I77">
        <f t="shared" si="6"/>
        <v>0.60472099999999995</v>
      </c>
      <c r="J77">
        <f t="shared" si="7"/>
        <v>0.36657199999999995</v>
      </c>
      <c r="K77">
        <f t="shared" si="8"/>
        <v>0.94056000000000006</v>
      </c>
    </row>
    <row r="78" spans="2:11">
      <c r="B78" t="s">
        <v>169</v>
      </c>
      <c r="C78" s="2">
        <v>3574.33</v>
      </c>
      <c r="D78" s="2">
        <v>2492.5300000000002</v>
      </c>
      <c r="E78" s="2">
        <v>6422.04</v>
      </c>
      <c r="F78" s="2">
        <v>2761.54</v>
      </c>
      <c r="H78">
        <f t="shared" si="5"/>
        <v>0.357433</v>
      </c>
      <c r="I78">
        <f t="shared" si="6"/>
        <v>0.24925300000000003</v>
      </c>
      <c r="J78">
        <f t="shared" si="7"/>
        <v>0.642204</v>
      </c>
      <c r="K78">
        <f t="shared" si="8"/>
        <v>0.27615400000000001</v>
      </c>
    </row>
    <row r="79" spans="2:11">
      <c r="C79" t="s">
        <v>597</v>
      </c>
      <c r="D79" t="s">
        <v>597</v>
      </c>
      <c r="E79" t="s">
        <v>597</v>
      </c>
    </row>
  </sheetData>
  <sortState ref="B5:F564">
    <sortCondition ref="B6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44"/>
  <sheetViews>
    <sheetView workbookViewId="0">
      <selection activeCell="H7" sqref="H7"/>
    </sheetView>
  </sheetViews>
  <sheetFormatPr defaultRowHeight="15"/>
  <cols>
    <col min="2" max="2" width="37.7109375" bestFit="1" customWidth="1"/>
    <col min="8" max="8" width="11" bestFit="1" customWidth="1"/>
  </cols>
  <sheetData>
    <row r="5" spans="2:8">
      <c r="C5">
        <v>2017</v>
      </c>
      <c r="D5">
        <v>2018</v>
      </c>
      <c r="E5">
        <v>2019</v>
      </c>
      <c r="F5">
        <v>2020</v>
      </c>
    </row>
    <row r="6" spans="2:8">
      <c r="B6" t="s">
        <v>409</v>
      </c>
      <c r="C6" t="s">
        <v>1163</v>
      </c>
      <c r="D6" t="s">
        <v>1688</v>
      </c>
      <c r="E6" t="s">
        <v>2193</v>
      </c>
      <c r="F6" t="s">
        <v>2681</v>
      </c>
    </row>
    <row r="7" spans="2:8">
      <c r="B7" t="s">
        <v>23</v>
      </c>
      <c r="C7" t="s">
        <v>903</v>
      </c>
      <c r="D7" t="s">
        <v>1430</v>
      </c>
      <c r="E7" t="s">
        <v>1944</v>
      </c>
      <c r="F7" t="s">
        <v>1903</v>
      </c>
      <c r="H7">
        <f>STDEV(491970000000,280550000000,690360000000)</f>
        <v>204939521404.07999</v>
      </c>
    </row>
    <row r="8" spans="2:8">
      <c r="B8" t="s">
        <v>137</v>
      </c>
      <c r="C8" t="s">
        <v>1345</v>
      </c>
      <c r="D8" t="s">
        <v>1858</v>
      </c>
      <c r="E8" t="s">
        <v>2363</v>
      </c>
      <c r="F8" t="s">
        <v>2843</v>
      </c>
    </row>
    <row r="9" spans="2:8">
      <c r="B9" t="s">
        <v>25</v>
      </c>
      <c r="C9" t="s">
        <v>1145</v>
      </c>
      <c r="D9" t="s">
        <v>1670</v>
      </c>
      <c r="E9" t="s">
        <v>2175</v>
      </c>
      <c r="F9" t="s">
        <v>2664</v>
      </c>
    </row>
    <row r="10" spans="2:8">
      <c r="B10" t="s">
        <v>48</v>
      </c>
      <c r="C10" t="s">
        <v>1365</v>
      </c>
      <c r="D10" t="s">
        <v>1878</v>
      </c>
      <c r="E10" t="s">
        <v>2381</v>
      </c>
      <c r="F10" t="s">
        <v>2863</v>
      </c>
    </row>
    <row r="11" spans="2:8">
      <c r="B11" t="s">
        <v>111</v>
      </c>
      <c r="C11" t="s">
        <v>1259</v>
      </c>
      <c r="D11" t="s">
        <v>1776</v>
      </c>
      <c r="E11" t="s">
        <v>2284</v>
      </c>
      <c r="F11" t="s">
        <v>2766</v>
      </c>
    </row>
    <row r="12" spans="2:8">
      <c r="B12" t="s">
        <v>440</v>
      </c>
      <c r="C12" t="s">
        <v>1264</v>
      </c>
      <c r="D12" t="s">
        <v>1780</v>
      </c>
      <c r="E12" t="s">
        <v>2171</v>
      </c>
      <c r="F12" t="s">
        <v>2770</v>
      </c>
    </row>
    <row r="13" spans="2:8">
      <c r="B13" t="s">
        <v>63</v>
      </c>
      <c r="C13" t="s">
        <v>893</v>
      </c>
      <c r="D13" t="s">
        <v>1420</v>
      </c>
      <c r="E13" t="s">
        <v>1934</v>
      </c>
      <c r="F13" t="s">
        <v>2433</v>
      </c>
    </row>
    <row r="14" spans="2:8">
      <c r="B14" t="s">
        <v>19</v>
      </c>
      <c r="C14" t="s">
        <v>1053</v>
      </c>
      <c r="D14" t="s">
        <v>1578</v>
      </c>
      <c r="E14" t="s">
        <v>2090</v>
      </c>
      <c r="F14" t="s">
        <v>2578</v>
      </c>
    </row>
    <row r="15" spans="2:8">
      <c r="B15" t="s">
        <v>408</v>
      </c>
      <c r="C15" t="s">
        <v>1233</v>
      </c>
      <c r="D15" t="s">
        <v>1752</v>
      </c>
      <c r="E15" t="s">
        <v>2258</v>
      </c>
      <c r="F15" t="s">
        <v>2743</v>
      </c>
    </row>
    <row r="16" spans="2:8">
      <c r="B16" t="s">
        <v>239</v>
      </c>
      <c r="C16" t="s">
        <v>985</v>
      </c>
      <c r="D16" t="s">
        <v>1512</v>
      </c>
      <c r="E16" t="s">
        <v>2025</v>
      </c>
      <c r="F16" t="s">
        <v>2516</v>
      </c>
    </row>
    <row r="17" spans="2:6">
      <c r="B17" t="s">
        <v>267</v>
      </c>
      <c r="C17" t="s">
        <v>1108</v>
      </c>
      <c r="D17" t="s">
        <v>1634</v>
      </c>
      <c r="E17" t="s">
        <v>2140</v>
      </c>
      <c r="F17" t="s">
        <v>2632</v>
      </c>
    </row>
    <row r="18" spans="2:6">
      <c r="B18" t="s">
        <v>66</v>
      </c>
      <c r="C18" t="s">
        <v>892</v>
      </c>
      <c r="D18" t="s">
        <v>1419</v>
      </c>
      <c r="E18" t="s">
        <v>1933</v>
      </c>
      <c r="F18" t="s">
        <v>2432</v>
      </c>
    </row>
    <row r="19" spans="2:6">
      <c r="B19" t="s">
        <v>264</v>
      </c>
      <c r="C19" t="s">
        <v>1295</v>
      </c>
      <c r="D19" t="s">
        <v>1809</v>
      </c>
      <c r="E19" t="s">
        <v>2317</v>
      </c>
      <c r="F19" t="s">
        <v>2798</v>
      </c>
    </row>
    <row r="20" spans="2:6">
      <c r="B20" t="s">
        <v>269</v>
      </c>
      <c r="C20" t="s">
        <v>1094</v>
      </c>
      <c r="D20" t="s">
        <v>1620</v>
      </c>
      <c r="E20" t="s">
        <v>2126</v>
      </c>
      <c r="F20" t="s">
        <v>2618</v>
      </c>
    </row>
    <row r="21" spans="2:6">
      <c r="B21" t="s">
        <v>71</v>
      </c>
      <c r="C21" t="s">
        <v>886</v>
      </c>
      <c r="D21" t="s">
        <v>1413</v>
      </c>
      <c r="E21" t="s">
        <v>1927</v>
      </c>
      <c r="F21" t="s">
        <v>1915</v>
      </c>
    </row>
    <row r="22" spans="2:6">
      <c r="B22" t="s">
        <v>477</v>
      </c>
      <c r="C22" t="s">
        <v>1086</v>
      </c>
      <c r="D22" t="s">
        <v>1612</v>
      </c>
      <c r="E22" t="s">
        <v>2118</v>
      </c>
      <c r="F22" t="s">
        <v>2610</v>
      </c>
    </row>
    <row r="23" spans="2:6">
      <c r="B23" t="s">
        <v>392</v>
      </c>
      <c r="C23" t="s">
        <v>1046</v>
      </c>
      <c r="D23" t="s">
        <v>1571</v>
      </c>
      <c r="E23" t="s">
        <v>2083</v>
      </c>
      <c r="F23" t="s">
        <v>2571</v>
      </c>
    </row>
    <row r="24" spans="2:6">
      <c r="B24" t="s">
        <v>233</v>
      </c>
      <c r="C24" t="s">
        <v>1026</v>
      </c>
      <c r="D24" t="s">
        <v>1552</v>
      </c>
      <c r="E24" t="s">
        <v>2065</v>
      </c>
      <c r="F24" t="s">
        <v>2555</v>
      </c>
    </row>
    <row r="25" spans="2:6">
      <c r="B25" t="s">
        <v>380</v>
      </c>
      <c r="C25" t="s">
        <v>1085</v>
      </c>
      <c r="D25" t="s">
        <v>1611</v>
      </c>
      <c r="E25" t="s">
        <v>2117</v>
      </c>
      <c r="F25" t="s">
        <v>2609</v>
      </c>
    </row>
    <row r="26" spans="2:6">
      <c r="B26" t="s">
        <v>47</v>
      </c>
      <c r="C26" t="s">
        <v>1193</v>
      </c>
      <c r="D26" t="s">
        <v>553</v>
      </c>
      <c r="E26" t="s">
        <v>2221</v>
      </c>
      <c r="F26" t="s">
        <v>685</v>
      </c>
    </row>
    <row r="27" spans="2:6">
      <c r="B27" t="s">
        <v>481</v>
      </c>
      <c r="C27" t="s">
        <v>1241</v>
      </c>
      <c r="D27" t="s">
        <v>1495</v>
      </c>
      <c r="E27" t="s">
        <v>2266</v>
      </c>
      <c r="F27" t="s">
        <v>2748</v>
      </c>
    </row>
    <row r="28" spans="2:6">
      <c r="B28" t="s">
        <v>360</v>
      </c>
      <c r="C28" t="s">
        <v>1103</v>
      </c>
      <c r="D28" t="s">
        <v>1629</v>
      </c>
      <c r="E28" t="s">
        <v>2135</v>
      </c>
      <c r="F28" t="s">
        <v>2627</v>
      </c>
    </row>
    <row r="29" spans="2:6">
      <c r="B29" t="s">
        <v>102</v>
      </c>
      <c r="C29" t="s">
        <v>979</v>
      </c>
      <c r="D29" t="s">
        <v>1506</v>
      </c>
      <c r="E29" t="s">
        <v>2019</v>
      </c>
      <c r="F29" t="s">
        <v>2510</v>
      </c>
    </row>
    <row r="30" spans="2:6">
      <c r="B30" t="s">
        <v>27</v>
      </c>
      <c r="C30" t="s">
        <v>872</v>
      </c>
      <c r="D30" t="s">
        <v>863</v>
      </c>
      <c r="E30" t="s">
        <v>1913</v>
      </c>
      <c r="F30" t="s">
        <v>1897</v>
      </c>
    </row>
    <row r="31" spans="2:6">
      <c r="B31" t="s">
        <v>153</v>
      </c>
      <c r="C31" t="s">
        <v>1313</v>
      </c>
      <c r="D31" t="s">
        <v>1826</v>
      </c>
      <c r="E31" t="s">
        <v>2333</v>
      </c>
      <c r="F31" t="s">
        <v>2816</v>
      </c>
    </row>
    <row r="32" spans="2:6">
      <c r="B32" t="s">
        <v>311</v>
      </c>
      <c r="C32" t="s">
        <v>925</v>
      </c>
      <c r="D32" t="s">
        <v>1452</v>
      </c>
      <c r="E32" t="s">
        <v>1966</v>
      </c>
      <c r="F32" t="s">
        <v>2458</v>
      </c>
    </row>
    <row r="33" spans="2:6">
      <c r="B33" t="s">
        <v>328</v>
      </c>
      <c r="C33" t="s">
        <v>1222</v>
      </c>
      <c r="D33" t="s">
        <v>1743</v>
      </c>
      <c r="E33" t="s">
        <v>2247</v>
      </c>
      <c r="F33" t="s">
        <v>2733</v>
      </c>
    </row>
    <row r="34" spans="2:6">
      <c r="B34" t="s">
        <v>302</v>
      </c>
      <c r="C34" t="s">
        <v>1038</v>
      </c>
      <c r="D34" t="s">
        <v>1564</v>
      </c>
      <c r="E34" t="s">
        <v>2076</v>
      </c>
      <c r="F34" t="s">
        <v>1693</v>
      </c>
    </row>
    <row r="35" spans="2:6">
      <c r="B35" t="s">
        <v>824</v>
      </c>
      <c r="C35" t="s">
        <v>1112</v>
      </c>
      <c r="D35" t="s">
        <v>1638</v>
      </c>
      <c r="E35" t="s">
        <v>2144</v>
      </c>
      <c r="F35" t="s">
        <v>2636</v>
      </c>
    </row>
    <row r="36" spans="2:6">
      <c r="B36" t="s">
        <v>340</v>
      </c>
      <c r="C36" t="s">
        <v>1087</v>
      </c>
      <c r="D36" t="s">
        <v>1613</v>
      </c>
      <c r="E36" t="s">
        <v>2119</v>
      </c>
      <c r="F36" t="s">
        <v>2611</v>
      </c>
    </row>
    <row r="37" spans="2:6">
      <c r="B37" t="s">
        <v>339</v>
      </c>
      <c r="C37" t="s">
        <v>1134</v>
      </c>
      <c r="D37" t="s">
        <v>1646</v>
      </c>
      <c r="E37" t="s">
        <v>2164</v>
      </c>
      <c r="F37" t="s">
        <v>2654</v>
      </c>
    </row>
    <row r="38" spans="2:6">
      <c r="B38" t="s">
        <v>478</v>
      </c>
      <c r="C38" t="s">
        <v>1017</v>
      </c>
      <c r="D38" t="s">
        <v>1543</v>
      </c>
      <c r="E38" t="s">
        <v>2056</v>
      </c>
      <c r="F38" t="s">
        <v>2546</v>
      </c>
    </row>
    <row r="39" spans="2:6">
      <c r="B39" t="s">
        <v>113</v>
      </c>
      <c r="C39" t="s">
        <v>1001</v>
      </c>
      <c r="D39" t="s">
        <v>1528</v>
      </c>
      <c r="E39" t="s">
        <v>2041</v>
      </c>
      <c r="F39" t="s">
        <v>2531</v>
      </c>
    </row>
    <row r="40" spans="2:6">
      <c r="B40" t="s">
        <v>299</v>
      </c>
      <c r="C40" t="s">
        <v>926</v>
      </c>
      <c r="D40" t="s">
        <v>1453</v>
      </c>
      <c r="E40" t="s">
        <v>1967</v>
      </c>
      <c r="F40" t="s">
        <v>2459</v>
      </c>
    </row>
    <row r="41" spans="2:6">
      <c r="B41" t="s">
        <v>144</v>
      </c>
      <c r="C41" t="s">
        <v>1186</v>
      </c>
      <c r="D41" t="s">
        <v>1711</v>
      </c>
      <c r="E41" t="s">
        <v>2215</v>
      </c>
      <c r="F41" t="s">
        <v>2702</v>
      </c>
    </row>
    <row r="42" spans="2:6">
      <c r="B42" t="s">
        <v>277</v>
      </c>
      <c r="C42" t="s">
        <v>1292</v>
      </c>
      <c r="D42" t="s">
        <v>1806</v>
      </c>
      <c r="E42" t="s">
        <v>2314</v>
      </c>
      <c r="F42" t="s">
        <v>2795</v>
      </c>
    </row>
    <row r="43" spans="2:6">
      <c r="B43" t="s">
        <v>145</v>
      </c>
      <c r="C43" t="s">
        <v>1059</v>
      </c>
      <c r="D43" t="s">
        <v>1584</v>
      </c>
      <c r="E43" t="s">
        <v>2095</v>
      </c>
      <c r="F43" t="s">
        <v>2584</v>
      </c>
    </row>
    <row r="44" spans="2:6">
      <c r="B44" t="s">
        <v>155</v>
      </c>
      <c r="C44" t="s">
        <v>854</v>
      </c>
      <c r="D44" t="s">
        <v>1386</v>
      </c>
      <c r="E44" t="s">
        <v>1899</v>
      </c>
      <c r="F44" t="s">
        <v>2401</v>
      </c>
    </row>
    <row r="45" spans="2:6">
      <c r="B45" t="s">
        <v>185</v>
      </c>
      <c r="C45" t="s">
        <v>1042</v>
      </c>
      <c r="D45" t="s">
        <v>1567</v>
      </c>
      <c r="E45" t="s">
        <v>2080</v>
      </c>
      <c r="F45" t="s">
        <v>2567</v>
      </c>
    </row>
    <row r="46" spans="2:6">
      <c r="B46" t="s">
        <v>30</v>
      </c>
      <c r="C46" t="s">
        <v>838</v>
      </c>
      <c r="D46" t="s">
        <v>1370</v>
      </c>
      <c r="E46" t="s">
        <v>1883</v>
      </c>
      <c r="F46" t="s">
        <v>2385</v>
      </c>
    </row>
    <row r="47" spans="2:6">
      <c r="B47" t="s">
        <v>251</v>
      </c>
      <c r="C47" t="s">
        <v>869</v>
      </c>
      <c r="D47" t="s">
        <v>1399</v>
      </c>
      <c r="E47" t="s">
        <v>1911</v>
      </c>
      <c r="F47" t="s">
        <v>867</v>
      </c>
    </row>
    <row r="48" spans="2:6">
      <c r="B48" t="s">
        <v>20</v>
      </c>
      <c r="C48" t="s">
        <v>1219</v>
      </c>
      <c r="D48" t="s">
        <v>1740</v>
      </c>
      <c r="E48" t="s">
        <v>2244</v>
      </c>
      <c r="F48" t="s">
        <v>2730</v>
      </c>
    </row>
    <row r="49" spans="2:6">
      <c r="B49" t="s">
        <v>207</v>
      </c>
      <c r="C49" t="s">
        <v>1262</v>
      </c>
      <c r="D49" t="s">
        <v>1778</v>
      </c>
      <c r="E49" t="s">
        <v>2287</v>
      </c>
      <c r="F49" t="s">
        <v>2287</v>
      </c>
    </row>
    <row r="50" spans="2:6">
      <c r="B50" t="s">
        <v>222</v>
      </c>
      <c r="C50" t="s">
        <v>1214</v>
      </c>
      <c r="D50" t="s">
        <v>1735</v>
      </c>
      <c r="E50" t="s">
        <v>2239</v>
      </c>
      <c r="F50" t="s">
        <v>2726</v>
      </c>
    </row>
    <row r="51" spans="2:6">
      <c r="B51" t="s">
        <v>177</v>
      </c>
      <c r="C51" t="s">
        <v>1182</v>
      </c>
      <c r="D51" t="s">
        <v>1706</v>
      </c>
      <c r="E51" t="s">
        <v>2211</v>
      </c>
      <c r="F51" t="s">
        <v>2699</v>
      </c>
    </row>
    <row r="52" spans="2:6">
      <c r="B52" t="s">
        <v>317</v>
      </c>
      <c r="C52" t="s">
        <v>1343</v>
      </c>
      <c r="D52" t="s">
        <v>1856</v>
      </c>
      <c r="E52" t="s">
        <v>2361</v>
      </c>
      <c r="F52" t="s">
        <v>2841</v>
      </c>
    </row>
    <row r="53" spans="2:6">
      <c r="B53" t="s">
        <v>103</v>
      </c>
      <c r="C53" t="s">
        <v>1110</v>
      </c>
      <c r="D53" t="s">
        <v>1636</v>
      </c>
      <c r="E53" t="s">
        <v>2142</v>
      </c>
      <c r="F53" t="s">
        <v>2634</v>
      </c>
    </row>
    <row r="54" spans="2:6">
      <c r="B54" t="s">
        <v>829</v>
      </c>
      <c r="C54" t="s">
        <v>1247</v>
      </c>
      <c r="D54" t="s">
        <v>1245</v>
      </c>
      <c r="E54" t="s">
        <v>2273</v>
      </c>
      <c r="F54" t="s">
        <v>2755</v>
      </c>
    </row>
    <row r="55" spans="2:6">
      <c r="B55" t="s">
        <v>179</v>
      </c>
      <c r="C55" t="s">
        <v>1354</v>
      </c>
      <c r="D55" t="s">
        <v>1867</v>
      </c>
      <c r="E55" t="s">
        <v>2371</v>
      </c>
      <c r="F55" t="s">
        <v>2852</v>
      </c>
    </row>
    <row r="56" spans="2:6">
      <c r="B56" t="s">
        <v>347</v>
      </c>
      <c r="C56" t="s">
        <v>1118</v>
      </c>
      <c r="D56" t="s">
        <v>1644</v>
      </c>
      <c r="E56" t="s">
        <v>2149</v>
      </c>
      <c r="F56" t="s">
        <v>1761</v>
      </c>
    </row>
    <row r="57" spans="2:6">
      <c r="B57" t="s">
        <v>215</v>
      </c>
      <c r="C57" t="s">
        <v>1068</v>
      </c>
      <c r="D57" t="s">
        <v>1593</v>
      </c>
      <c r="E57" t="s">
        <v>2103</v>
      </c>
      <c r="F57" t="s">
        <v>2592</v>
      </c>
    </row>
    <row r="58" spans="2:6">
      <c r="B58" t="s">
        <v>418</v>
      </c>
      <c r="C58" t="s">
        <v>1184</v>
      </c>
      <c r="D58" t="s">
        <v>1709</v>
      </c>
      <c r="E58" t="s">
        <v>2213</v>
      </c>
      <c r="F58" t="s">
        <v>2701</v>
      </c>
    </row>
    <row r="59" spans="2:6">
      <c r="B59" t="s">
        <v>6</v>
      </c>
      <c r="C59" t="s">
        <v>1148</v>
      </c>
      <c r="D59" t="s">
        <v>1673</v>
      </c>
      <c r="E59" t="s">
        <v>2178</v>
      </c>
      <c r="F59" t="s">
        <v>2667</v>
      </c>
    </row>
    <row r="60" spans="2:6">
      <c r="B60" t="s">
        <v>442</v>
      </c>
      <c r="C60" t="s">
        <v>1109</v>
      </c>
      <c r="D60" t="s">
        <v>1635</v>
      </c>
      <c r="E60" t="s">
        <v>2141</v>
      </c>
      <c r="F60" t="s">
        <v>2633</v>
      </c>
    </row>
    <row r="61" spans="2:6">
      <c r="B61" t="s">
        <v>398</v>
      </c>
      <c r="C61" t="s">
        <v>1160</v>
      </c>
      <c r="D61" t="s">
        <v>1685</v>
      </c>
      <c r="E61" t="s">
        <v>2190</v>
      </c>
      <c r="F61" t="s">
        <v>2678</v>
      </c>
    </row>
    <row r="62" spans="2:6">
      <c r="B62" t="s">
        <v>314</v>
      </c>
      <c r="C62" t="s">
        <v>1139</v>
      </c>
      <c r="D62" t="s">
        <v>1664</v>
      </c>
      <c r="E62" t="s">
        <v>2169</v>
      </c>
      <c r="F62" t="s">
        <v>2659</v>
      </c>
    </row>
    <row r="63" spans="2:6">
      <c r="B63" t="s">
        <v>160</v>
      </c>
      <c r="C63" t="s">
        <v>1140</v>
      </c>
      <c r="D63" t="s">
        <v>1665</v>
      </c>
      <c r="E63" t="s">
        <v>2170</v>
      </c>
      <c r="F63" t="s">
        <v>2660</v>
      </c>
    </row>
    <row r="64" spans="2:6">
      <c r="B64" t="s">
        <v>56</v>
      </c>
      <c r="C64" t="s">
        <v>936</v>
      </c>
      <c r="D64" t="s">
        <v>1463</v>
      </c>
      <c r="E64" t="s">
        <v>1977</v>
      </c>
      <c r="F64" t="s">
        <v>2469</v>
      </c>
    </row>
    <row r="65" spans="2:6">
      <c r="B65" t="s">
        <v>282</v>
      </c>
      <c r="C65" t="s">
        <v>1366</v>
      </c>
      <c r="D65" t="s">
        <v>1879</v>
      </c>
      <c r="E65" t="s">
        <v>2382</v>
      </c>
      <c r="F65" t="s">
        <v>2864</v>
      </c>
    </row>
    <row r="66" spans="2:6">
      <c r="B66" t="s">
        <v>332</v>
      </c>
      <c r="C66" t="s">
        <v>1210</v>
      </c>
      <c r="D66" t="s">
        <v>1732</v>
      </c>
      <c r="E66" t="s">
        <v>643</v>
      </c>
      <c r="F66" t="s">
        <v>2723</v>
      </c>
    </row>
    <row r="67" spans="2:6">
      <c r="B67" t="s">
        <v>227</v>
      </c>
      <c r="C67" t="s">
        <v>1002</v>
      </c>
      <c r="D67" t="s">
        <v>1529</v>
      </c>
      <c r="E67" t="s">
        <v>2042</v>
      </c>
      <c r="F67" t="s">
        <v>2532</v>
      </c>
    </row>
    <row r="68" spans="2:6">
      <c r="B68" t="s">
        <v>178</v>
      </c>
      <c r="C68" t="s">
        <v>1245</v>
      </c>
      <c r="D68" t="s">
        <v>1764</v>
      </c>
      <c r="E68" t="s">
        <v>2271</v>
      </c>
      <c r="F68" t="s">
        <v>2753</v>
      </c>
    </row>
    <row r="69" spans="2:6">
      <c r="B69" t="s">
        <v>461</v>
      </c>
      <c r="C69" t="s">
        <v>1238</v>
      </c>
      <c r="D69" t="s">
        <v>1757</v>
      </c>
      <c r="E69" t="s">
        <v>2263</v>
      </c>
      <c r="F69" t="s">
        <v>2747</v>
      </c>
    </row>
    <row r="70" spans="2:6">
      <c r="B70" t="s">
        <v>200</v>
      </c>
      <c r="C70" t="s">
        <v>1071</v>
      </c>
      <c r="D70" t="s">
        <v>1596</v>
      </c>
      <c r="E70" t="s">
        <v>2105</v>
      </c>
      <c r="F70" t="s">
        <v>2595</v>
      </c>
    </row>
    <row r="71" spans="2:6">
      <c r="B71" t="s">
        <v>457</v>
      </c>
      <c r="C71" t="s">
        <v>1073</v>
      </c>
      <c r="D71" t="s">
        <v>1599</v>
      </c>
      <c r="E71" t="s">
        <v>2107</v>
      </c>
      <c r="F71" t="s">
        <v>2598</v>
      </c>
    </row>
    <row r="72" spans="2:6">
      <c r="B72" t="s">
        <v>275</v>
      </c>
      <c r="C72" t="s">
        <v>1350</v>
      </c>
      <c r="D72" t="s">
        <v>1863</v>
      </c>
      <c r="E72" t="s">
        <v>2367</v>
      </c>
      <c r="F72" t="s">
        <v>2848</v>
      </c>
    </row>
    <row r="73" spans="2:6">
      <c r="B73" t="s">
        <v>400</v>
      </c>
      <c r="C73" t="s">
        <v>1048</v>
      </c>
      <c r="D73" t="s">
        <v>1573</v>
      </c>
      <c r="E73" t="s">
        <v>2085</v>
      </c>
      <c r="F73" t="s">
        <v>2573</v>
      </c>
    </row>
    <row r="74" spans="2:6">
      <c r="B74" t="s">
        <v>67</v>
      </c>
      <c r="C74" t="s">
        <v>1237</v>
      </c>
      <c r="D74" t="s">
        <v>1756</v>
      </c>
      <c r="E74" t="s">
        <v>2262</v>
      </c>
      <c r="F74" t="s">
        <v>2746</v>
      </c>
    </row>
    <row r="75" spans="2:6">
      <c r="B75" t="s">
        <v>212</v>
      </c>
      <c r="C75" t="s">
        <v>958</v>
      </c>
      <c r="D75" t="s">
        <v>1485</v>
      </c>
      <c r="E75" t="s">
        <v>1999</v>
      </c>
      <c r="F75" t="s">
        <v>2490</v>
      </c>
    </row>
    <row r="76" spans="2:6">
      <c r="B76" t="s">
        <v>345</v>
      </c>
      <c r="C76" t="s">
        <v>1329</v>
      </c>
      <c r="D76" t="s">
        <v>1842</v>
      </c>
      <c r="E76" t="s">
        <v>2347</v>
      </c>
      <c r="F76" t="s">
        <v>2829</v>
      </c>
    </row>
    <row r="77" spans="2:6">
      <c r="B77" t="s">
        <v>244</v>
      </c>
      <c r="C77" t="s">
        <v>871</v>
      </c>
      <c r="D77" t="s">
        <v>874</v>
      </c>
      <c r="E77" t="s">
        <v>873</v>
      </c>
      <c r="F77" t="s">
        <v>2414</v>
      </c>
    </row>
    <row r="78" spans="2:6">
      <c r="B78" t="s">
        <v>496</v>
      </c>
      <c r="C78" t="s">
        <v>1040</v>
      </c>
      <c r="D78" t="s">
        <v>1566</v>
      </c>
      <c r="E78" t="s">
        <v>2078</v>
      </c>
      <c r="F78" t="s">
        <v>2566</v>
      </c>
    </row>
    <row r="79" spans="2:6">
      <c r="B79" t="s">
        <v>39</v>
      </c>
      <c r="C79" t="s">
        <v>1050</v>
      </c>
      <c r="D79" t="s">
        <v>1575</v>
      </c>
      <c r="E79" t="s">
        <v>2087</v>
      </c>
      <c r="F79" t="s">
        <v>2575</v>
      </c>
    </row>
    <row r="80" spans="2:6">
      <c r="B80" t="s">
        <v>52</v>
      </c>
      <c r="C80" t="s">
        <v>540</v>
      </c>
      <c r="D80" t="s">
        <v>1725</v>
      </c>
      <c r="E80" t="s">
        <v>2229</v>
      </c>
      <c r="F80" t="s">
        <v>2716</v>
      </c>
    </row>
    <row r="81" spans="2:6">
      <c r="B81" t="s">
        <v>134</v>
      </c>
      <c r="C81" t="s">
        <v>939</v>
      </c>
      <c r="D81" t="s">
        <v>1466</v>
      </c>
      <c r="E81" t="s">
        <v>1980</v>
      </c>
      <c r="F81" t="s">
        <v>2471</v>
      </c>
    </row>
    <row r="82" spans="2:6">
      <c r="B82" t="s">
        <v>259</v>
      </c>
      <c r="C82" t="s">
        <v>1066</v>
      </c>
      <c r="D82" t="s">
        <v>1591</v>
      </c>
      <c r="E82" t="s">
        <v>2101</v>
      </c>
      <c r="F82" t="s">
        <v>2591</v>
      </c>
    </row>
    <row r="83" spans="2:6">
      <c r="B83" t="s">
        <v>32</v>
      </c>
      <c r="C83" t="s">
        <v>861</v>
      </c>
      <c r="D83" t="s">
        <v>861</v>
      </c>
      <c r="E83" t="s">
        <v>1905</v>
      </c>
      <c r="F83" t="s">
        <v>2407</v>
      </c>
    </row>
    <row r="84" spans="2:6">
      <c r="B84" t="s">
        <v>276</v>
      </c>
      <c r="C84" t="s">
        <v>1239</v>
      </c>
      <c r="D84" t="s">
        <v>1758</v>
      </c>
      <c r="E84" t="s">
        <v>2264</v>
      </c>
      <c r="F84" t="s">
        <v>1588</v>
      </c>
    </row>
    <row r="85" spans="2:6">
      <c r="B85" t="s">
        <v>273</v>
      </c>
      <c r="C85" t="s">
        <v>1326</v>
      </c>
      <c r="D85" t="s">
        <v>1839</v>
      </c>
      <c r="E85" t="s">
        <v>2344</v>
      </c>
      <c r="F85" t="s">
        <v>2827</v>
      </c>
    </row>
    <row r="86" spans="2:6">
      <c r="B86" t="s">
        <v>449</v>
      </c>
      <c r="C86" t="s">
        <v>1275</v>
      </c>
      <c r="D86" t="s">
        <v>1790</v>
      </c>
      <c r="E86" t="s">
        <v>2298</v>
      </c>
      <c r="F86" t="s">
        <v>2781</v>
      </c>
    </row>
    <row r="87" spans="2:6">
      <c r="B87" t="s">
        <v>106</v>
      </c>
      <c r="C87" t="s">
        <v>1007</v>
      </c>
      <c r="D87" t="s">
        <v>1534</v>
      </c>
      <c r="E87" t="s">
        <v>1100</v>
      </c>
      <c r="F87" t="s">
        <v>2536</v>
      </c>
    </row>
    <row r="88" spans="2:6">
      <c r="B88" t="s">
        <v>8</v>
      </c>
      <c r="C88" t="s">
        <v>1218</v>
      </c>
      <c r="D88" t="s">
        <v>1739</v>
      </c>
      <c r="E88" t="s">
        <v>2243</v>
      </c>
      <c r="F88" t="s">
        <v>552</v>
      </c>
    </row>
    <row r="89" spans="2:6">
      <c r="B89" t="s">
        <v>2</v>
      </c>
      <c r="C89" t="s">
        <v>1228</v>
      </c>
      <c r="D89" t="s">
        <v>1749</v>
      </c>
      <c r="E89" t="s">
        <v>2253</v>
      </c>
      <c r="F89" t="s">
        <v>2738</v>
      </c>
    </row>
    <row r="90" spans="2:6">
      <c r="B90" t="s">
        <v>42</v>
      </c>
      <c r="C90" t="s">
        <v>1358</v>
      </c>
      <c r="D90" t="s">
        <v>1871</v>
      </c>
      <c r="E90" t="s">
        <v>2375</v>
      </c>
      <c r="F90" t="s">
        <v>2856</v>
      </c>
    </row>
    <row r="91" spans="2:6">
      <c r="B91" t="s">
        <v>247</v>
      </c>
      <c r="C91" t="s">
        <v>973</v>
      </c>
      <c r="D91" t="s">
        <v>1500</v>
      </c>
      <c r="E91" t="s">
        <v>1441</v>
      </c>
      <c r="F91" t="s">
        <v>2505</v>
      </c>
    </row>
    <row r="92" spans="2:6">
      <c r="B92" t="s">
        <v>381</v>
      </c>
      <c r="C92" t="s">
        <v>1073</v>
      </c>
      <c r="D92" t="s">
        <v>1598</v>
      </c>
      <c r="E92" t="s">
        <v>2106</v>
      </c>
      <c r="F92" t="s">
        <v>2597</v>
      </c>
    </row>
    <row r="93" spans="2:6">
      <c r="B93" t="s">
        <v>450</v>
      </c>
      <c r="C93" t="s">
        <v>1261</v>
      </c>
      <c r="D93" t="s">
        <v>1777</v>
      </c>
      <c r="E93" t="s">
        <v>2286</v>
      </c>
      <c r="F93" t="s">
        <v>2768</v>
      </c>
    </row>
    <row r="94" spans="2:6">
      <c r="B94" t="s">
        <v>371</v>
      </c>
      <c r="C94" t="s">
        <v>1063</v>
      </c>
      <c r="D94" t="s">
        <v>1588</v>
      </c>
      <c r="E94" t="s">
        <v>2098</v>
      </c>
      <c r="F94" t="s">
        <v>2588</v>
      </c>
    </row>
    <row r="95" spans="2:6">
      <c r="B95" t="s">
        <v>471</v>
      </c>
      <c r="C95" t="s">
        <v>1125</v>
      </c>
      <c r="D95" t="s">
        <v>1651</v>
      </c>
      <c r="E95" t="s">
        <v>2155</v>
      </c>
      <c r="F95" t="s">
        <v>1318</v>
      </c>
    </row>
    <row r="96" spans="2:6">
      <c r="B96" t="s">
        <v>492</v>
      </c>
      <c r="C96" t="s">
        <v>996</v>
      </c>
      <c r="D96" t="s">
        <v>1523</v>
      </c>
      <c r="E96" t="s">
        <v>2036</v>
      </c>
      <c r="F96" t="s">
        <v>2526</v>
      </c>
    </row>
    <row r="97" spans="2:6">
      <c r="B97" t="s">
        <v>343</v>
      </c>
      <c r="C97" t="s">
        <v>1150</v>
      </c>
      <c r="D97" t="s">
        <v>1675</v>
      </c>
      <c r="E97" t="s">
        <v>2180</v>
      </c>
      <c r="F97" t="s">
        <v>2669</v>
      </c>
    </row>
    <row r="98" spans="2:6">
      <c r="B98" t="s">
        <v>96</v>
      </c>
      <c r="C98" t="s">
        <v>922</v>
      </c>
      <c r="D98" t="s">
        <v>1449</v>
      </c>
      <c r="E98" t="s">
        <v>1963</v>
      </c>
      <c r="F98" t="s">
        <v>2456</v>
      </c>
    </row>
    <row r="99" spans="2:6">
      <c r="B99" t="s">
        <v>127</v>
      </c>
      <c r="C99" t="s">
        <v>1336</v>
      </c>
      <c r="D99" t="s">
        <v>1849</v>
      </c>
      <c r="E99" t="s">
        <v>2354</v>
      </c>
      <c r="F99" t="s">
        <v>2834</v>
      </c>
    </row>
    <row r="100" spans="2:6">
      <c r="B100" t="s">
        <v>191</v>
      </c>
      <c r="C100" t="s">
        <v>1337</v>
      </c>
      <c r="D100" t="s">
        <v>1850</v>
      </c>
      <c r="E100" t="s">
        <v>2355</v>
      </c>
      <c r="F100" t="s">
        <v>2835</v>
      </c>
    </row>
    <row r="101" spans="2:6">
      <c r="B101" t="s">
        <v>187</v>
      </c>
      <c r="C101" t="s">
        <v>931</v>
      </c>
      <c r="D101" t="s">
        <v>1458</v>
      </c>
      <c r="E101" t="s">
        <v>1972</v>
      </c>
      <c r="F101" t="s">
        <v>2464</v>
      </c>
    </row>
    <row r="102" spans="2:6">
      <c r="B102" t="s">
        <v>136</v>
      </c>
      <c r="C102" t="s">
        <v>1149</v>
      </c>
      <c r="D102" t="s">
        <v>1674</v>
      </c>
      <c r="E102" t="s">
        <v>2179</v>
      </c>
      <c r="F102" t="s">
        <v>2668</v>
      </c>
    </row>
    <row r="103" spans="2:6">
      <c r="B103" t="s">
        <v>406</v>
      </c>
      <c r="C103" t="s">
        <v>1204</v>
      </c>
      <c r="D103" t="s">
        <v>1727</v>
      </c>
      <c r="E103" t="s">
        <v>2232</v>
      </c>
      <c r="F103" t="s">
        <v>729</v>
      </c>
    </row>
    <row r="104" spans="2:6">
      <c r="B104" t="s">
        <v>220</v>
      </c>
      <c r="C104" t="s">
        <v>1022</v>
      </c>
      <c r="D104" t="s">
        <v>1548</v>
      </c>
      <c r="E104" t="s">
        <v>2061</v>
      </c>
      <c r="F104" t="s">
        <v>2551</v>
      </c>
    </row>
    <row r="105" spans="2:6">
      <c r="B105" t="s">
        <v>35</v>
      </c>
      <c r="C105" t="s">
        <v>1147</v>
      </c>
      <c r="D105" t="s">
        <v>1672</v>
      </c>
      <c r="E105" t="s">
        <v>2177</v>
      </c>
      <c r="F105" t="s">
        <v>2666</v>
      </c>
    </row>
    <row r="106" spans="2:6">
      <c r="B106" t="s">
        <v>95</v>
      </c>
      <c r="C106" t="s">
        <v>849</v>
      </c>
      <c r="D106" t="s">
        <v>1381</v>
      </c>
      <c r="E106" t="s">
        <v>1894</v>
      </c>
      <c r="F106" t="s">
        <v>2396</v>
      </c>
    </row>
    <row r="107" spans="2:6">
      <c r="B107" t="s">
        <v>109</v>
      </c>
      <c r="C107" t="s">
        <v>1039</v>
      </c>
      <c r="D107" t="s">
        <v>1565</v>
      </c>
      <c r="E107" t="s">
        <v>2077</v>
      </c>
      <c r="F107" t="s">
        <v>2565</v>
      </c>
    </row>
    <row r="108" spans="2:6">
      <c r="B108" t="s">
        <v>447</v>
      </c>
      <c r="C108" t="s">
        <v>1101</v>
      </c>
      <c r="D108" t="s">
        <v>1627</v>
      </c>
      <c r="E108" t="s">
        <v>2133</v>
      </c>
      <c r="F108" t="s">
        <v>2625</v>
      </c>
    </row>
    <row r="109" spans="2:6">
      <c r="B109" t="s">
        <v>77</v>
      </c>
      <c r="C109" t="s">
        <v>1034</v>
      </c>
      <c r="D109" t="s">
        <v>1560</v>
      </c>
      <c r="E109" t="s">
        <v>1400</v>
      </c>
      <c r="F109" t="s">
        <v>2562</v>
      </c>
    </row>
    <row r="110" spans="2:6">
      <c r="B110" t="s">
        <v>434</v>
      </c>
      <c r="C110" t="s">
        <v>1019</v>
      </c>
      <c r="D110" t="s">
        <v>1545</v>
      </c>
      <c r="E110" t="s">
        <v>2058</v>
      </c>
      <c r="F110" t="s">
        <v>2548</v>
      </c>
    </row>
    <row r="111" spans="2:6">
      <c r="B111" t="s">
        <v>396</v>
      </c>
      <c r="C111" t="s">
        <v>1018</v>
      </c>
      <c r="D111" t="s">
        <v>1544</v>
      </c>
      <c r="E111" t="s">
        <v>2057</v>
      </c>
      <c r="F111" t="s">
        <v>2547</v>
      </c>
    </row>
    <row r="112" spans="2:6">
      <c r="B112" t="s">
        <v>265</v>
      </c>
      <c r="C112" t="s">
        <v>1269</v>
      </c>
      <c r="D112" t="s">
        <v>1785</v>
      </c>
      <c r="E112" t="s">
        <v>2292</v>
      </c>
      <c r="F112" t="s">
        <v>2775</v>
      </c>
    </row>
    <row r="113" spans="2:6">
      <c r="B113" t="s">
        <v>235</v>
      </c>
      <c r="C113" t="s">
        <v>877</v>
      </c>
      <c r="D113" t="s">
        <v>1405</v>
      </c>
      <c r="E113" t="s">
        <v>1918</v>
      </c>
      <c r="F113" t="s">
        <v>2419</v>
      </c>
    </row>
    <row r="114" spans="2:6">
      <c r="B114" t="s">
        <v>338</v>
      </c>
      <c r="C114" t="s">
        <v>1079</v>
      </c>
      <c r="D114" t="s">
        <v>1605</v>
      </c>
      <c r="E114" t="s">
        <v>2112</v>
      </c>
      <c r="F114" t="s">
        <v>2603</v>
      </c>
    </row>
    <row r="115" spans="2:6">
      <c r="B115" t="s">
        <v>407</v>
      </c>
      <c r="C115" t="s">
        <v>1181</v>
      </c>
      <c r="D115" t="s">
        <v>534</v>
      </c>
      <c r="E115" t="s">
        <v>2210</v>
      </c>
      <c r="F115" t="s">
        <v>2698</v>
      </c>
    </row>
    <row r="116" spans="2:6">
      <c r="B116" t="s">
        <v>129</v>
      </c>
      <c r="C116" t="s">
        <v>1127</v>
      </c>
      <c r="D116" t="s">
        <v>1653</v>
      </c>
      <c r="E116" t="s">
        <v>2157</v>
      </c>
      <c r="F116" t="s">
        <v>2648</v>
      </c>
    </row>
    <row r="117" spans="2:6">
      <c r="B117" t="s">
        <v>188</v>
      </c>
      <c r="C117" t="s">
        <v>970</v>
      </c>
      <c r="D117" t="s">
        <v>1497</v>
      </c>
      <c r="E117" t="s">
        <v>2011</v>
      </c>
      <c r="F117" t="s">
        <v>2502</v>
      </c>
    </row>
    <row r="118" spans="2:6">
      <c r="B118" t="s">
        <v>382</v>
      </c>
      <c r="C118" t="s">
        <v>1265</v>
      </c>
      <c r="D118" t="s">
        <v>1781</v>
      </c>
      <c r="E118" t="s">
        <v>2289</v>
      </c>
      <c r="F118" t="s">
        <v>2771</v>
      </c>
    </row>
    <row r="119" spans="2:6">
      <c r="B119" t="s">
        <v>368</v>
      </c>
      <c r="C119" t="s">
        <v>1130</v>
      </c>
      <c r="D119" t="s">
        <v>1656</v>
      </c>
      <c r="E119" t="s">
        <v>2160</v>
      </c>
      <c r="F119" t="s">
        <v>2650</v>
      </c>
    </row>
    <row r="120" spans="2:6">
      <c r="B120" t="s">
        <v>121</v>
      </c>
      <c r="C120" t="s">
        <v>1327</v>
      </c>
      <c r="D120" t="s">
        <v>1840</v>
      </c>
      <c r="E120" t="s">
        <v>2345</v>
      </c>
      <c r="F120" t="s">
        <v>2345</v>
      </c>
    </row>
    <row r="121" spans="2:6">
      <c r="B121" t="s">
        <v>501</v>
      </c>
      <c r="C121" t="s">
        <v>1065</v>
      </c>
      <c r="D121" t="s">
        <v>1590</v>
      </c>
      <c r="E121" t="s">
        <v>2100</v>
      </c>
      <c r="F121" t="s">
        <v>2590</v>
      </c>
    </row>
    <row r="122" spans="2:6">
      <c r="B122" t="s">
        <v>468</v>
      </c>
      <c r="C122" t="s">
        <v>1229</v>
      </c>
      <c r="D122" t="s">
        <v>1750</v>
      </c>
      <c r="E122" t="s">
        <v>2254</v>
      </c>
      <c r="F122" t="s">
        <v>2739</v>
      </c>
    </row>
    <row r="123" spans="2:6">
      <c r="B123" t="s">
        <v>3</v>
      </c>
      <c r="C123" t="s">
        <v>1172</v>
      </c>
      <c r="D123" t="s">
        <v>1697</v>
      </c>
      <c r="E123" t="s">
        <v>2202</v>
      </c>
      <c r="F123" t="s">
        <v>2689</v>
      </c>
    </row>
    <row r="124" spans="2:6">
      <c r="B124" t="s">
        <v>458</v>
      </c>
      <c r="C124" t="s">
        <v>1142</v>
      </c>
      <c r="D124" t="s">
        <v>1667</v>
      </c>
      <c r="E124" t="s">
        <v>2172</v>
      </c>
      <c r="F124" t="s">
        <v>2662</v>
      </c>
    </row>
    <row r="125" spans="2:6">
      <c r="B125" t="s">
        <v>219</v>
      </c>
      <c r="C125" t="s">
        <v>962</v>
      </c>
      <c r="D125" t="s">
        <v>1489</v>
      </c>
      <c r="E125" t="s">
        <v>2003</v>
      </c>
      <c r="F125" t="s">
        <v>2494</v>
      </c>
    </row>
    <row r="126" spans="2:6">
      <c r="B126" t="s">
        <v>252</v>
      </c>
      <c r="C126" t="s">
        <v>948</v>
      </c>
      <c r="D126" t="s">
        <v>1475</v>
      </c>
      <c r="E126" t="s">
        <v>1989</v>
      </c>
      <c r="F126" t="s">
        <v>2480</v>
      </c>
    </row>
    <row r="127" spans="2:6">
      <c r="B127" t="s">
        <v>12</v>
      </c>
      <c r="C127" t="s">
        <v>1152</v>
      </c>
      <c r="D127" t="s">
        <v>1677</v>
      </c>
      <c r="E127" t="s">
        <v>2182</v>
      </c>
      <c r="F127" t="s">
        <v>2671</v>
      </c>
    </row>
    <row r="128" spans="2:6">
      <c r="B128" t="s">
        <v>415</v>
      </c>
      <c r="C128" t="s">
        <v>1023</v>
      </c>
      <c r="D128" t="s">
        <v>1549</v>
      </c>
      <c r="E128" t="s">
        <v>2062</v>
      </c>
      <c r="F128" t="s">
        <v>2552</v>
      </c>
    </row>
    <row r="129" spans="2:6">
      <c r="B129" t="s">
        <v>370</v>
      </c>
      <c r="C129" t="s">
        <v>1246</v>
      </c>
      <c r="D129" t="s">
        <v>1765</v>
      </c>
      <c r="E129" t="s">
        <v>2272</v>
      </c>
      <c r="F129" t="s">
        <v>2754</v>
      </c>
    </row>
    <row r="130" spans="2:6">
      <c r="B130" t="s">
        <v>163</v>
      </c>
      <c r="C130" t="s">
        <v>1124</v>
      </c>
      <c r="D130" t="s">
        <v>1650</v>
      </c>
      <c r="E130" t="s">
        <v>2154</v>
      </c>
      <c r="F130" t="s">
        <v>2646</v>
      </c>
    </row>
    <row r="131" spans="2:6">
      <c r="B131" t="s">
        <v>261</v>
      </c>
      <c r="C131" t="s">
        <v>914</v>
      </c>
      <c r="D131" t="s">
        <v>1441</v>
      </c>
      <c r="E131" t="s">
        <v>1955</v>
      </c>
      <c r="F131" t="s">
        <v>2449</v>
      </c>
    </row>
    <row r="132" spans="2:6">
      <c r="B132" t="s">
        <v>439</v>
      </c>
      <c r="C132" t="s">
        <v>1132</v>
      </c>
      <c r="D132" t="s">
        <v>1658</v>
      </c>
      <c r="E132" t="s">
        <v>2162</v>
      </c>
      <c r="F132" t="s">
        <v>2652</v>
      </c>
    </row>
    <row r="133" spans="2:6">
      <c r="B133" t="s">
        <v>436</v>
      </c>
      <c r="C133" t="s">
        <v>990</v>
      </c>
      <c r="D133" t="s">
        <v>1517</v>
      </c>
      <c r="E133" t="s">
        <v>2030</v>
      </c>
      <c r="F133" t="s">
        <v>2521</v>
      </c>
    </row>
    <row r="134" spans="2:6">
      <c r="B134" t="s">
        <v>412</v>
      </c>
      <c r="C134" t="s">
        <v>1217</v>
      </c>
      <c r="D134" t="s">
        <v>1738</v>
      </c>
      <c r="E134" t="s">
        <v>2242</v>
      </c>
      <c r="F134" t="s">
        <v>2729</v>
      </c>
    </row>
    <row r="135" spans="2:6">
      <c r="B135" t="s">
        <v>826</v>
      </c>
      <c r="C135" t="s">
        <v>1136</v>
      </c>
      <c r="D135" t="s">
        <v>1661</v>
      </c>
      <c r="E135" t="s">
        <v>2166</v>
      </c>
      <c r="F135" t="s">
        <v>2656</v>
      </c>
    </row>
    <row r="136" spans="2:6">
      <c r="B136" t="s">
        <v>372</v>
      </c>
      <c r="C136" t="s">
        <v>1297</v>
      </c>
      <c r="D136" t="s">
        <v>1811</v>
      </c>
      <c r="E136" t="s">
        <v>2319</v>
      </c>
      <c r="F136" t="s">
        <v>2800</v>
      </c>
    </row>
    <row r="137" spans="2:6">
      <c r="B137" t="s">
        <v>454</v>
      </c>
      <c r="C137" t="s">
        <v>1258</v>
      </c>
      <c r="D137" t="s">
        <v>1775</v>
      </c>
      <c r="E137" t="s">
        <v>2283</v>
      </c>
      <c r="F137" t="s">
        <v>2765</v>
      </c>
    </row>
    <row r="138" spans="2:6">
      <c r="B138" t="s">
        <v>206</v>
      </c>
      <c r="C138" t="s">
        <v>1342</v>
      </c>
      <c r="D138" t="s">
        <v>1855</v>
      </c>
      <c r="E138" t="s">
        <v>2360</v>
      </c>
      <c r="F138" t="s">
        <v>2840</v>
      </c>
    </row>
    <row r="139" spans="2:6">
      <c r="B139" t="s">
        <v>293</v>
      </c>
      <c r="C139" t="s">
        <v>964</v>
      </c>
      <c r="D139" t="s">
        <v>1491</v>
      </c>
      <c r="E139" t="s">
        <v>2005</v>
      </c>
      <c r="F139" t="s">
        <v>2496</v>
      </c>
    </row>
    <row r="140" spans="2:6">
      <c r="B140" t="s">
        <v>324</v>
      </c>
      <c r="C140" t="s">
        <v>1273</v>
      </c>
      <c r="D140" t="s">
        <v>1788</v>
      </c>
      <c r="E140" t="s">
        <v>2296</v>
      </c>
      <c r="F140" t="s">
        <v>2779</v>
      </c>
    </row>
    <row r="141" spans="2:6">
      <c r="B141" t="s">
        <v>422</v>
      </c>
      <c r="C141" t="s">
        <v>1080</v>
      </c>
      <c r="D141" t="s">
        <v>1606</v>
      </c>
      <c r="E141" t="s">
        <v>1274</v>
      </c>
      <c r="F141" t="s">
        <v>2604</v>
      </c>
    </row>
    <row r="142" spans="2:6">
      <c r="B142" t="s">
        <v>386</v>
      </c>
      <c r="C142" t="s">
        <v>1339</v>
      </c>
      <c r="D142" t="s">
        <v>1852</v>
      </c>
      <c r="E142" t="s">
        <v>2357</v>
      </c>
      <c r="F142" t="s">
        <v>2837</v>
      </c>
    </row>
    <row r="143" spans="2:6">
      <c r="B143" t="s">
        <v>493</v>
      </c>
      <c r="C143" t="s">
        <v>1029</v>
      </c>
      <c r="D143" t="s">
        <v>1555</v>
      </c>
      <c r="E143" t="s">
        <v>2068</v>
      </c>
      <c r="F143" t="s">
        <v>1256</v>
      </c>
    </row>
    <row r="144" spans="2:6">
      <c r="B144" t="s">
        <v>151</v>
      </c>
      <c r="C144" t="s">
        <v>1168</v>
      </c>
      <c r="D144" t="s">
        <v>1693</v>
      </c>
      <c r="E144" t="s">
        <v>2198</v>
      </c>
      <c r="F144" t="s">
        <v>2686</v>
      </c>
    </row>
    <row r="145" spans="2:6">
      <c r="B145" t="s">
        <v>17</v>
      </c>
      <c r="C145" t="s">
        <v>1356</v>
      </c>
      <c r="D145" t="s">
        <v>1869</v>
      </c>
      <c r="E145" t="s">
        <v>2373</v>
      </c>
      <c r="F145" t="s">
        <v>2854</v>
      </c>
    </row>
    <row r="146" spans="2:6">
      <c r="B146" t="s">
        <v>459</v>
      </c>
      <c r="C146" t="s">
        <v>1099</v>
      </c>
      <c r="D146" t="s">
        <v>1625</v>
      </c>
      <c r="E146" t="s">
        <v>2131</v>
      </c>
      <c r="F146" t="s">
        <v>2623</v>
      </c>
    </row>
    <row r="147" spans="2:6">
      <c r="B147" t="s">
        <v>295</v>
      </c>
      <c r="C147" t="s">
        <v>1271</v>
      </c>
      <c r="D147" t="s">
        <v>1103</v>
      </c>
      <c r="E147" t="s">
        <v>2294</v>
      </c>
      <c r="F147" t="s">
        <v>2777</v>
      </c>
    </row>
    <row r="148" spans="2:6">
      <c r="B148" t="s">
        <v>182</v>
      </c>
      <c r="C148" t="s">
        <v>1013</v>
      </c>
      <c r="D148" t="s">
        <v>1539</v>
      </c>
      <c r="E148" t="s">
        <v>2052</v>
      </c>
      <c r="F148" t="s">
        <v>2542</v>
      </c>
    </row>
    <row r="149" spans="2:6">
      <c r="B149" t="s">
        <v>815</v>
      </c>
      <c r="C149" t="s">
        <v>870</v>
      </c>
      <c r="D149" t="s">
        <v>1400</v>
      </c>
      <c r="E149" t="s">
        <v>1912</v>
      </c>
      <c r="F149" t="s">
        <v>2413</v>
      </c>
    </row>
    <row r="150" spans="2:6">
      <c r="B150" t="s">
        <v>201</v>
      </c>
      <c r="C150" t="s">
        <v>988</v>
      </c>
      <c r="D150" t="s">
        <v>1515</v>
      </c>
      <c r="E150" t="s">
        <v>2028</v>
      </c>
      <c r="F150" t="s">
        <v>2519</v>
      </c>
    </row>
    <row r="151" spans="2:6">
      <c r="B151" t="s">
        <v>482</v>
      </c>
      <c r="C151" t="s">
        <v>1008</v>
      </c>
      <c r="D151" t="s">
        <v>1535</v>
      </c>
      <c r="E151" t="s">
        <v>2047</v>
      </c>
      <c r="F151" t="s">
        <v>2537</v>
      </c>
    </row>
    <row r="152" spans="2:6">
      <c r="B152" t="s">
        <v>419</v>
      </c>
      <c r="C152" t="s">
        <v>937</v>
      </c>
      <c r="D152" t="s">
        <v>1464</v>
      </c>
      <c r="E152" t="s">
        <v>1978</v>
      </c>
      <c r="F152" t="s">
        <v>2470</v>
      </c>
    </row>
    <row r="153" spans="2:6">
      <c r="B153" t="s">
        <v>452</v>
      </c>
      <c r="C153" t="s">
        <v>1232</v>
      </c>
      <c r="D153" t="s">
        <v>1751</v>
      </c>
      <c r="E153" t="s">
        <v>2257</v>
      </c>
      <c r="F153" t="s">
        <v>2742</v>
      </c>
    </row>
    <row r="154" spans="2:6">
      <c r="B154" t="s">
        <v>13</v>
      </c>
      <c r="C154" t="s">
        <v>864</v>
      </c>
      <c r="D154" t="s">
        <v>1394</v>
      </c>
      <c r="E154" t="s">
        <v>1880</v>
      </c>
      <c r="F154" t="s">
        <v>2409</v>
      </c>
    </row>
    <row r="155" spans="2:6">
      <c r="B155" t="s">
        <v>303</v>
      </c>
      <c r="C155" t="s">
        <v>749</v>
      </c>
      <c r="D155" t="s">
        <v>1721</v>
      </c>
      <c r="E155" t="s">
        <v>2226</v>
      </c>
      <c r="F155" t="s">
        <v>2712</v>
      </c>
    </row>
    <row r="156" spans="2:6">
      <c r="B156" t="s">
        <v>443</v>
      </c>
      <c r="C156" t="s">
        <v>1240</v>
      </c>
      <c r="D156" t="s">
        <v>1759</v>
      </c>
      <c r="E156" t="s">
        <v>2265</v>
      </c>
      <c r="F156" t="s">
        <v>1768</v>
      </c>
    </row>
    <row r="157" spans="2:6">
      <c r="B157" t="s">
        <v>335</v>
      </c>
      <c r="C157" t="s">
        <v>998</v>
      </c>
      <c r="D157" t="s">
        <v>1525</v>
      </c>
      <c r="E157" t="s">
        <v>2038</v>
      </c>
      <c r="F157" t="s">
        <v>2528</v>
      </c>
    </row>
    <row r="158" spans="2:6">
      <c r="B158" t="s">
        <v>305</v>
      </c>
      <c r="C158" t="s">
        <v>1016</v>
      </c>
      <c r="D158" t="s">
        <v>1542</v>
      </c>
      <c r="E158" t="s">
        <v>2055</v>
      </c>
      <c r="F158" t="s">
        <v>2545</v>
      </c>
    </row>
    <row r="159" spans="2:6">
      <c r="B159" t="s">
        <v>24</v>
      </c>
      <c r="C159" t="s">
        <v>1062</v>
      </c>
      <c r="D159" t="s">
        <v>1587</v>
      </c>
      <c r="E159" t="s">
        <v>1140</v>
      </c>
      <c r="F159" t="s">
        <v>2587</v>
      </c>
    </row>
    <row r="160" spans="2:6">
      <c r="B160" t="s">
        <v>421</v>
      </c>
      <c r="C160" t="s">
        <v>1212</v>
      </c>
      <c r="D160" t="s">
        <v>1734</v>
      </c>
      <c r="E160" t="s">
        <v>2237</v>
      </c>
      <c r="F160" t="s">
        <v>2725</v>
      </c>
    </row>
    <row r="161" spans="2:6">
      <c r="B161" t="s">
        <v>16</v>
      </c>
      <c r="C161" t="s">
        <v>1332</v>
      </c>
      <c r="D161" t="s">
        <v>1845</v>
      </c>
      <c r="E161" t="s">
        <v>2350</v>
      </c>
      <c r="F161" t="s">
        <v>2350</v>
      </c>
    </row>
    <row r="162" spans="2:6">
      <c r="B162" t="s">
        <v>142</v>
      </c>
      <c r="C162" t="s">
        <v>1302</v>
      </c>
      <c r="D162" t="s">
        <v>1816</v>
      </c>
      <c r="E162" t="s">
        <v>2324</v>
      </c>
      <c r="F162" t="s">
        <v>2805</v>
      </c>
    </row>
    <row r="163" spans="2:6">
      <c r="B163" t="s">
        <v>202</v>
      </c>
      <c r="C163" t="s">
        <v>857</v>
      </c>
      <c r="D163" t="s">
        <v>1389</v>
      </c>
      <c r="E163" t="s">
        <v>1902</v>
      </c>
      <c r="F163" t="s">
        <v>2403</v>
      </c>
    </row>
    <row r="164" spans="2:6">
      <c r="B164" t="s">
        <v>279</v>
      </c>
      <c r="C164" t="s">
        <v>909</v>
      </c>
      <c r="D164" t="s">
        <v>1436</v>
      </c>
      <c r="E164" t="s">
        <v>1950</v>
      </c>
      <c r="F164" t="s">
        <v>2444</v>
      </c>
    </row>
    <row r="165" spans="2:6">
      <c r="B165" t="s">
        <v>835</v>
      </c>
      <c r="C165" t="s">
        <v>1330</v>
      </c>
      <c r="D165" t="s">
        <v>1843</v>
      </c>
      <c r="E165" t="s">
        <v>2348</v>
      </c>
      <c r="F165" t="s">
        <v>2830</v>
      </c>
    </row>
    <row r="166" spans="2:6">
      <c r="B166" t="s">
        <v>143</v>
      </c>
      <c r="C166" t="s">
        <v>938</v>
      </c>
      <c r="D166" t="s">
        <v>1465</v>
      </c>
      <c r="E166" t="s">
        <v>1979</v>
      </c>
      <c r="F166" t="s">
        <v>1467</v>
      </c>
    </row>
    <row r="167" spans="2:6">
      <c r="B167" t="s">
        <v>423</v>
      </c>
      <c r="C167" t="s">
        <v>1178</v>
      </c>
      <c r="D167" t="s">
        <v>1703</v>
      </c>
      <c r="E167" t="s">
        <v>716</v>
      </c>
      <c r="F167" t="s">
        <v>2695</v>
      </c>
    </row>
    <row r="168" spans="2:6">
      <c r="B168" t="s">
        <v>832</v>
      </c>
      <c r="C168" t="s">
        <v>1260</v>
      </c>
      <c r="D168" t="s">
        <v>1616</v>
      </c>
      <c r="E168" t="s">
        <v>2285</v>
      </c>
      <c r="F168" t="s">
        <v>2767</v>
      </c>
    </row>
    <row r="169" spans="2:6">
      <c r="B169" t="s">
        <v>229</v>
      </c>
      <c r="C169" t="s">
        <v>940</v>
      </c>
      <c r="D169" t="s">
        <v>1467</v>
      </c>
      <c r="E169" t="s">
        <v>1981</v>
      </c>
      <c r="F169" t="s">
        <v>2472</v>
      </c>
    </row>
    <row r="170" spans="2:6">
      <c r="B170" t="s">
        <v>167</v>
      </c>
      <c r="C170" t="s">
        <v>1279</v>
      </c>
      <c r="D170" t="s">
        <v>1794</v>
      </c>
      <c r="E170" t="s">
        <v>2302</v>
      </c>
      <c r="F170" t="s">
        <v>2784</v>
      </c>
    </row>
    <row r="171" spans="2:6">
      <c r="B171" t="s">
        <v>76</v>
      </c>
      <c r="C171" t="s">
        <v>867</v>
      </c>
      <c r="D171" t="s">
        <v>1396</v>
      </c>
      <c r="E171" t="s">
        <v>1909</v>
      </c>
      <c r="F171" t="s">
        <v>2411</v>
      </c>
    </row>
    <row r="172" spans="2:6">
      <c r="B172" t="s">
        <v>429</v>
      </c>
      <c r="C172" t="s">
        <v>1251</v>
      </c>
      <c r="D172" t="s">
        <v>1768</v>
      </c>
      <c r="E172" t="s">
        <v>2276</v>
      </c>
      <c r="F172" t="s">
        <v>1947</v>
      </c>
    </row>
    <row r="173" spans="2:6">
      <c r="B173" t="s">
        <v>393</v>
      </c>
      <c r="C173" t="s">
        <v>1213</v>
      </c>
      <c r="D173" t="s">
        <v>773</v>
      </c>
      <c r="E173" t="s">
        <v>2238</v>
      </c>
      <c r="F173" t="s">
        <v>2719</v>
      </c>
    </row>
    <row r="174" spans="2:6">
      <c r="B174" t="s">
        <v>79</v>
      </c>
      <c r="C174" t="s">
        <v>1159</v>
      </c>
      <c r="D174" t="s">
        <v>1684</v>
      </c>
      <c r="E174" t="s">
        <v>2189</v>
      </c>
      <c r="F174" t="s">
        <v>2677</v>
      </c>
    </row>
    <row r="175" spans="2:6">
      <c r="B175" t="s">
        <v>484</v>
      </c>
      <c r="C175" t="s">
        <v>1221</v>
      </c>
      <c r="D175" t="s">
        <v>1742</v>
      </c>
      <c r="E175" t="s">
        <v>2246</v>
      </c>
      <c r="F175" t="s">
        <v>2732</v>
      </c>
    </row>
    <row r="176" spans="2:6">
      <c r="B176" t="s">
        <v>120</v>
      </c>
      <c r="C176" t="s">
        <v>965</v>
      </c>
      <c r="D176" t="s">
        <v>1492</v>
      </c>
      <c r="E176" t="s">
        <v>2006</v>
      </c>
      <c r="F176" t="s">
        <v>2497</v>
      </c>
    </row>
    <row r="177" spans="2:6">
      <c r="B177" t="s">
        <v>363</v>
      </c>
      <c r="C177" t="s">
        <v>911</v>
      </c>
      <c r="D177" t="s">
        <v>1438</v>
      </c>
      <c r="E177" t="s">
        <v>1952</v>
      </c>
      <c r="F177" t="s">
        <v>2446</v>
      </c>
    </row>
    <row r="178" spans="2:6">
      <c r="B178" t="s">
        <v>467</v>
      </c>
      <c r="C178" t="s">
        <v>1274</v>
      </c>
      <c r="D178" t="s">
        <v>1789</v>
      </c>
      <c r="E178" t="s">
        <v>2297</v>
      </c>
      <c r="F178" t="s">
        <v>2780</v>
      </c>
    </row>
    <row r="179" spans="2:6">
      <c r="B179" t="s">
        <v>254</v>
      </c>
      <c r="C179" t="s">
        <v>1287</v>
      </c>
      <c r="D179" t="s">
        <v>1801</v>
      </c>
      <c r="E179" t="s">
        <v>2309</v>
      </c>
      <c r="F179" t="s">
        <v>2791</v>
      </c>
    </row>
    <row r="180" spans="2:6">
      <c r="B180" t="s">
        <v>497</v>
      </c>
      <c r="C180" t="s">
        <v>1033</v>
      </c>
      <c r="D180" t="s">
        <v>1559</v>
      </c>
      <c r="E180" t="s">
        <v>2072</v>
      </c>
      <c r="F180" t="s">
        <v>2561</v>
      </c>
    </row>
    <row r="181" spans="2:6">
      <c r="B181" t="s">
        <v>811</v>
      </c>
      <c r="C181" t="s">
        <v>848</v>
      </c>
      <c r="D181" t="s">
        <v>1380</v>
      </c>
      <c r="E181" t="s">
        <v>1893</v>
      </c>
      <c r="F181" t="s">
        <v>2395</v>
      </c>
    </row>
    <row r="182" spans="2:6">
      <c r="B182" t="s">
        <v>383</v>
      </c>
      <c r="C182" t="s">
        <v>1137</v>
      </c>
      <c r="D182" t="s">
        <v>1662</v>
      </c>
      <c r="E182" t="s">
        <v>2167</v>
      </c>
      <c r="F182" t="s">
        <v>2657</v>
      </c>
    </row>
    <row r="183" spans="2:6">
      <c r="B183" t="s">
        <v>114</v>
      </c>
      <c r="C183" t="s">
        <v>1294</v>
      </c>
      <c r="D183" t="s">
        <v>1808</v>
      </c>
      <c r="E183" t="s">
        <v>2316</v>
      </c>
      <c r="F183" t="s">
        <v>2797</v>
      </c>
    </row>
    <row r="184" spans="2:6">
      <c r="B184" t="s">
        <v>387</v>
      </c>
      <c r="C184" t="s">
        <v>1167</v>
      </c>
      <c r="D184" t="s">
        <v>1692</v>
      </c>
      <c r="E184" t="s">
        <v>2197</v>
      </c>
      <c r="F184" t="s">
        <v>2685</v>
      </c>
    </row>
    <row r="185" spans="2:6">
      <c r="B185" t="s">
        <v>384</v>
      </c>
      <c r="C185" t="s">
        <v>1309</v>
      </c>
      <c r="D185" t="s">
        <v>1822</v>
      </c>
      <c r="E185" t="s">
        <v>2330</v>
      </c>
      <c r="F185" t="s">
        <v>2812</v>
      </c>
    </row>
    <row r="186" spans="2:6">
      <c r="B186" t="s">
        <v>138</v>
      </c>
      <c r="C186" t="s">
        <v>1037</v>
      </c>
      <c r="D186" t="s">
        <v>1563</v>
      </c>
      <c r="E186" t="s">
        <v>2075</v>
      </c>
      <c r="F186" t="s">
        <v>2075</v>
      </c>
    </row>
    <row r="187" spans="2:6">
      <c r="B187" t="s">
        <v>413</v>
      </c>
      <c r="C187" t="s">
        <v>1201</v>
      </c>
      <c r="D187" t="s">
        <v>1724</v>
      </c>
      <c r="E187" t="s">
        <v>2228</v>
      </c>
      <c r="F187" t="s">
        <v>2715</v>
      </c>
    </row>
    <row r="188" spans="2:6">
      <c r="B188" t="s">
        <v>399</v>
      </c>
      <c r="C188" t="s">
        <v>1306</v>
      </c>
      <c r="D188" t="s">
        <v>1645</v>
      </c>
      <c r="E188" t="s">
        <v>2327</v>
      </c>
      <c r="F188" t="s">
        <v>2809</v>
      </c>
    </row>
    <row r="189" spans="2:6">
      <c r="B189" t="s">
        <v>64</v>
      </c>
      <c r="C189" t="s">
        <v>1315</v>
      </c>
      <c r="D189" t="s">
        <v>1828</v>
      </c>
      <c r="E189" t="s">
        <v>2335</v>
      </c>
      <c r="F189" t="s">
        <v>2818</v>
      </c>
    </row>
    <row r="190" spans="2:6">
      <c r="B190" t="s">
        <v>301</v>
      </c>
      <c r="C190" t="s">
        <v>1020</v>
      </c>
      <c r="D190" t="s">
        <v>1546</v>
      </c>
      <c r="E190" t="s">
        <v>2059</v>
      </c>
      <c r="F190" t="s">
        <v>2549</v>
      </c>
    </row>
    <row r="191" spans="2:6">
      <c r="B191" t="s">
        <v>223</v>
      </c>
      <c r="C191" t="s">
        <v>1041</v>
      </c>
      <c r="D191" t="s">
        <v>1041</v>
      </c>
      <c r="E191" t="s">
        <v>2079</v>
      </c>
      <c r="F191" t="s">
        <v>2079</v>
      </c>
    </row>
    <row r="192" spans="2:6">
      <c r="B192" t="s">
        <v>173</v>
      </c>
      <c r="C192" t="s">
        <v>880</v>
      </c>
      <c r="D192" t="s">
        <v>1408</v>
      </c>
      <c r="E192" t="s">
        <v>1921</v>
      </c>
      <c r="F192" t="s">
        <v>2422</v>
      </c>
    </row>
    <row r="193" spans="2:6">
      <c r="B193" t="s">
        <v>130</v>
      </c>
      <c r="C193" t="s">
        <v>843</v>
      </c>
      <c r="D193" t="s">
        <v>1375</v>
      </c>
      <c r="E193" t="s">
        <v>1888</v>
      </c>
      <c r="F193" t="s">
        <v>2390</v>
      </c>
    </row>
    <row r="194" spans="2:6">
      <c r="B194" t="s">
        <v>351</v>
      </c>
      <c r="C194" t="s">
        <v>1116</v>
      </c>
      <c r="D194" t="s">
        <v>1642</v>
      </c>
      <c r="E194" t="s">
        <v>2147</v>
      </c>
      <c r="F194" t="s">
        <v>2640</v>
      </c>
    </row>
    <row r="195" spans="2:6">
      <c r="B195" t="s">
        <v>176</v>
      </c>
      <c r="C195" t="s">
        <v>1010</v>
      </c>
      <c r="D195" t="s">
        <v>1537</v>
      </c>
      <c r="E195" t="s">
        <v>2049</v>
      </c>
      <c r="F195" t="s">
        <v>2539</v>
      </c>
    </row>
    <row r="196" spans="2:6">
      <c r="B196" t="s">
        <v>463</v>
      </c>
      <c r="C196" t="s">
        <v>1176</v>
      </c>
      <c r="D196" t="s">
        <v>1701</v>
      </c>
      <c r="E196" t="s">
        <v>2206</v>
      </c>
      <c r="F196" t="s">
        <v>2693</v>
      </c>
    </row>
    <row r="197" spans="2:6">
      <c r="B197" t="s">
        <v>1</v>
      </c>
      <c r="C197" t="s">
        <v>896</v>
      </c>
      <c r="D197" t="s">
        <v>1423</v>
      </c>
      <c r="E197" t="s">
        <v>1937</v>
      </c>
      <c r="F197" t="s">
        <v>1937</v>
      </c>
    </row>
    <row r="198" spans="2:6">
      <c r="B198" t="s">
        <v>473</v>
      </c>
      <c r="C198" t="s">
        <v>1285</v>
      </c>
      <c r="D198" t="s">
        <v>1799</v>
      </c>
      <c r="E198" t="s">
        <v>2307</v>
      </c>
      <c r="F198" t="s">
        <v>2789</v>
      </c>
    </row>
    <row r="199" spans="2:6">
      <c r="B199" t="s">
        <v>122</v>
      </c>
      <c r="C199" t="s">
        <v>1170</v>
      </c>
      <c r="D199" t="s">
        <v>1695</v>
      </c>
      <c r="E199" t="s">
        <v>2200</v>
      </c>
      <c r="F199" t="s">
        <v>2687</v>
      </c>
    </row>
    <row r="200" spans="2:6">
      <c r="B200" t="s">
        <v>453</v>
      </c>
      <c r="C200" t="s">
        <v>1162</v>
      </c>
      <c r="D200" t="s">
        <v>1687</v>
      </c>
      <c r="E200" t="s">
        <v>2192</v>
      </c>
      <c r="F200" t="s">
        <v>2680</v>
      </c>
    </row>
    <row r="201" spans="2:6">
      <c r="B201" t="s">
        <v>320</v>
      </c>
      <c r="C201" t="s">
        <v>913</v>
      </c>
      <c r="D201" t="s">
        <v>1440</v>
      </c>
      <c r="E201" t="s">
        <v>1954</v>
      </c>
      <c r="F201" t="s">
        <v>2448</v>
      </c>
    </row>
    <row r="202" spans="2:6">
      <c r="B202" t="s">
        <v>255</v>
      </c>
      <c r="C202" t="s">
        <v>1164</v>
      </c>
      <c r="D202" t="s">
        <v>1689</v>
      </c>
      <c r="E202" t="s">
        <v>2194</v>
      </c>
      <c r="F202" t="s">
        <v>2682</v>
      </c>
    </row>
    <row r="203" spans="2:6">
      <c r="B203" t="s">
        <v>365</v>
      </c>
      <c r="C203" t="s">
        <v>1344</v>
      </c>
      <c r="D203" t="s">
        <v>1857</v>
      </c>
      <c r="E203" t="s">
        <v>2362</v>
      </c>
      <c r="F203" t="s">
        <v>2842</v>
      </c>
    </row>
    <row r="204" spans="2:6">
      <c r="B204" t="s">
        <v>37</v>
      </c>
      <c r="C204" t="s">
        <v>839</v>
      </c>
      <c r="D204" t="s">
        <v>1371</v>
      </c>
      <c r="E204" t="s">
        <v>1884</v>
      </c>
      <c r="F204" t="s">
        <v>2386</v>
      </c>
    </row>
    <row r="205" spans="2:6">
      <c r="B205" t="s">
        <v>346</v>
      </c>
      <c r="C205" t="s">
        <v>1227</v>
      </c>
      <c r="D205" t="s">
        <v>1748</v>
      </c>
      <c r="E205" t="s">
        <v>2252</v>
      </c>
      <c r="F205" t="s">
        <v>1246</v>
      </c>
    </row>
    <row r="206" spans="2:6">
      <c r="B206" t="s">
        <v>389</v>
      </c>
      <c r="C206" t="s">
        <v>1245</v>
      </c>
      <c r="D206" t="s">
        <v>1763</v>
      </c>
      <c r="E206" t="s">
        <v>2270</v>
      </c>
      <c r="F206" t="s">
        <v>2752</v>
      </c>
    </row>
    <row r="207" spans="2:6">
      <c r="B207" t="s">
        <v>271</v>
      </c>
      <c r="C207" t="s">
        <v>1166</v>
      </c>
      <c r="D207" t="s">
        <v>1691</v>
      </c>
      <c r="E207" t="s">
        <v>2196</v>
      </c>
      <c r="F207" t="s">
        <v>2684</v>
      </c>
    </row>
    <row r="208" spans="2:6">
      <c r="B208" t="s">
        <v>234</v>
      </c>
      <c r="C208" t="s">
        <v>1215</v>
      </c>
      <c r="D208" t="s">
        <v>1736</v>
      </c>
      <c r="E208" t="s">
        <v>2240</v>
      </c>
      <c r="F208" t="s">
        <v>2727</v>
      </c>
    </row>
    <row r="209" spans="2:6">
      <c r="B209" t="s">
        <v>272</v>
      </c>
      <c r="C209" t="s">
        <v>1202</v>
      </c>
      <c r="D209" t="s">
        <v>786</v>
      </c>
      <c r="E209" t="s">
        <v>2230</v>
      </c>
      <c r="F209" t="s">
        <v>2717</v>
      </c>
    </row>
    <row r="210" spans="2:6">
      <c r="B210" t="s">
        <v>428</v>
      </c>
      <c r="C210" t="s">
        <v>1057</v>
      </c>
      <c r="D210" t="s">
        <v>1582</v>
      </c>
      <c r="E210" t="s">
        <v>2093</v>
      </c>
      <c r="F210" t="s">
        <v>2582</v>
      </c>
    </row>
    <row r="211" spans="2:6">
      <c r="B211" t="s">
        <v>159</v>
      </c>
      <c r="C211" t="s">
        <v>967</v>
      </c>
      <c r="D211" t="s">
        <v>1494</v>
      </c>
      <c r="E211" t="s">
        <v>2008</v>
      </c>
      <c r="F211" t="s">
        <v>2499</v>
      </c>
    </row>
    <row r="212" spans="2:6">
      <c r="B212" t="s">
        <v>34</v>
      </c>
      <c r="C212" t="s">
        <v>1154</v>
      </c>
      <c r="D212" t="s">
        <v>1679</v>
      </c>
      <c r="E212" t="s">
        <v>2184</v>
      </c>
      <c r="F212" t="s">
        <v>2673</v>
      </c>
    </row>
    <row r="213" spans="2:6">
      <c r="B213" t="s">
        <v>214</v>
      </c>
      <c r="C213" t="s">
        <v>1335</v>
      </c>
      <c r="D213" t="s">
        <v>1848</v>
      </c>
      <c r="E213" t="s">
        <v>2353</v>
      </c>
      <c r="F213" t="s">
        <v>2833</v>
      </c>
    </row>
    <row r="214" spans="2:6">
      <c r="B214" t="s">
        <v>5</v>
      </c>
      <c r="C214" t="s">
        <v>1157</v>
      </c>
      <c r="D214" t="s">
        <v>1682</v>
      </c>
      <c r="E214" t="s">
        <v>2187</v>
      </c>
      <c r="F214" t="s">
        <v>2676</v>
      </c>
    </row>
    <row r="215" spans="2:6">
      <c r="B215" t="s">
        <v>506</v>
      </c>
      <c r="C215" t="s">
        <v>1316</v>
      </c>
      <c r="D215" t="s">
        <v>1829</v>
      </c>
      <c r="E215" t="s">
        <v>1639</v>
      </c>
      <c r="F215" t="s">
        <v>2819</v>
      </c>
    </row>
    <row r="216" spans="2:6">
      <c r="B216" t="s">
        <v>322</v>
      </c>
      <c r="C216" t="s">
        <v>1169</v>
      </c>
      <c r="D216" t="s">
        <v>1694</v>
      </c>
      <c r="E216" t="s">
        <v>2199</v>
      </c>
      <c r="F216" t="s">
        <v>610</v>
      </c>
    </row>
    <row r="217" spans="2:6">
      <c r="B217" t="s">
        <v>388</v>
      </c>
      <c r="C217" t="s">
        <v>1205</v>
      </c>
      <c r="D217" t="s">
        <v>624</v>
      </c>
      <c r="E217" t="s">
        <v>2233</v>
      </c>
      <c r="F217" t="s">
        <v>688</v>
      </c>
    </row>
    <row r="218" spans="2:6">
      <c r="B218" t="s">
        <v>115</v>
      </c>
      <c r="C218" t="s">
        <v>1156</v>
      </c>
      <c r="D218" t="s">
        <v>1681</v>
      </c>
      <c r="E218" t="s">
        <v>2186</v>
      </c>
      <c r="F218" t="s">
        <v>2675</v>
      </c>
    </row>
    <row r="219" spans="2:6">
      <c r="B219" t="s">
        <v>161</v>
      </c>
      <c r="C219" t="s">
        <v>850</v>
      </c>
      <c r="D219" t="s">
        <v>1382</v>
      </c>
      <c r="E219" t="s">
        <v>1895</v>
      </c>
      <c r="F219" t="s">
        <v>2397</v>
      </c>
    </row>
    <row r="220" spans="2:6">
      <c r="B220" t="s">
        <v>132</v>
      </c>
      <c r="C220" t="s">
        <v>1349</v>
      </c>
      <c r="D220" t="s">
        <v>1862</v>
      </c>
      <c r="E220" t="s">
        <v>2366</v>
      </c>
      <c r="F220" t="s">
        <v>2847</v>
      </c>
    </row>
    <row r="221" spans="2:6">
      <c r="B221" t="s">
        <v>117</v>
      </c>
      <c r="C221" t="s">
        <v>847</v>
      </c>
      <c r="D221" t="s">
        <v>1379</v>
      </c>
      <c r="E221" t="s">
        <v>1892</v>
      </c>
      <c r="F221" t="s">
        <v>2394</v>
      </c>
    </row>
    <row r="222" spans="2:6">
      <c r="B222" t="s">
        <v>84</v>
      </c>
      <c r="C222" t="s">
        <v>842</v>
      </c>
      <c r="D222" t="s">
        <v>1374</v>
      </c>
      <c r="E222" t="s">
        <v>1887</v>
      </c>
      <c r="F222" t="s">
        <v>2389</v>
      </c>
    </row>
    <row r="223" spans="2:6">
      <c r="B223" t="s">
        <v>288</v>
      </c>
      <c r="C223" t="s">
        <v>972</v>
      </c>
      <c r="D223" t="s">
        <v>1499</v>
      </c>
      <c r="E223" t="s">
        <v>2013</v>
      </c>
      <c r="F223" t="s">
        <v>2504</v>
      </c>
    </row>
    <row r="224" spans="2:6">
      <c r="B224" t="s">
        <v>430</v>
      </c>
      <c r="C224" t="s">
        <v>977</v>
      </c>
      <c r="D224" t="s">
        <v>1504</v>
      </c>
      <c r="E224" t="s">
        <v>2017</v>
      </c>
      <c r="F224" t="s">
        <v>2509</v>
      </c>
    </row>
    <row r="225" spans="2:6">
      <c r="B225" t="s">
        <v>304</v>
      </c>
      <c r="C225" t="s">
        <v>989</v>
      </c>
      <c r="D225" t="s">
        <v>1516</v>
      </c>
      <c r="E225" t="s">
        <v>2029</v>
      </c>
      <c r="F225" t="s">
        <v>2520</v>
      </c>
    </row>
    <row r="226" spans="2:6">
      <c r="B226" t="s">
        <v>411</v>
      </c>
      <c r="C226" t="s">
        <v>1334</v>
      </c>
      <c r="D226" t="s">
        <v>1847</v>
      </c>
      <c r="E226" t="s">
        <v>2352</v>
      </c>
      <c r="F226" t="s">
        <v>2832</v>
      </c>
    </row>
    <row r="227" spans="2:6">
      <c r="B227" t="s">
        <v>170</v>
      </c>
      <c r="C227" t="s">
        <v>1206</v>
      </c>
      <c r="D227" t="s">
        <v>599</v>
      </c>
      <c r="E227" t="s">
        <v>735</v>
      </c>
      <c r="F227" t="s">
        <v>2719</v>
      </c>
    </row>
    <row r="228" spans="2:6">
      <c r="B228" t="s">
        <v>225</v>
      </c>
      <c r="C228" t="s">
        <v>971</v>
      </c>
      <c r="D228" t="s">
        <v>1498</v>
      </c>
      <c r="E228" t="s">
        <v>2012</v>
      </c>
      <c r="F228" t="s">
        <v>2503</v>
      </c>
    </row>
    <row r="229" spans="2:6">
      <c r="B229" t="s">
        <v>456</v>
      </c>
      <c r="C229" t="s">
        <v>1249</v>
      </c>
      <c r="D229" t="s">
        <v>1767</v>
      </c>
      <c r="E229" t="s">
        <v>2274</v>
      </c>
      <c r="F229" t="s">
        <v>2757</v>
      </c>
    </row>
    <row r="230" spans="2:6">
      <c r="B230" t="s">
        <v>195</v>
      </c>
      <c r="C230" t="s">
        <v>1198</v>
      </c>
      <c r="D230" t="s">
        <v>1720</v>
      </c>
      <c r="E230" t="s">
        <v>2225</v>
      </c>
      <c r="F230" t="s">
        <v>1714</v>
      </c>
    </row>
    <row r="231" spans="2:6">
      <c r="B231" t="s">
        <v>319</v>
      </c>
      <c r="C231" t="s">
        <v>1165</v>
      </c>
      <c r="D231" t="s">
        <v>1690</v>
      </c>
      <c r="E231" t="s">
        <v>2195</v>
      </c>
      <c r="F231" t="s">
        <v>2683</v>
      </c>
    </row>
    <row r="232" spans="2:6">
      <c r="B232" t="s">
        <v>813</v>
      </c>
      <c r="C232" t="s">
        <v>841</v>
      </c>
      <c r="D232" t="s">
        <v>1373</v>
      </c>
      <c r="E232" t="s">
        <v>1886</v>
      </c>
      <c r="F232" t="s">
        <v>2388</v>
      </c>
    </row>
    <row r="233" spans="2:6">
      <c r="B233" t="s">
        <v>148</v>
      </c>
      <c r="C233" t="s">
        <v>961</v>
      </c>
      <c r="D233" t="s">
        <v>1488</v>
      </c>
      <c r="E233" t="s">
        <v>2002</v>
      </c>
      <c r="F233" t="s">
        <v>2493</v>
      </c>
    </row>
    <row r="234" spans="2:6">
      <c r="B234" t="s">
        <v>124</v>
      </c>
      <c r="C234" t="s">
        <v>1352</v>
      </c>
      <c r="D234" t="s">
        <v>1865</v>
      </c>
      <c r="E234" t="s">
        <v>2369</v>
      </c>
      <c r="F234" t="s">
        <v>2850</v>
      </c>
    </row>
    <row r="235" spans="2:6">
      <c r="B235" t="s">
        <v>88</v>
      </c>
      <c r="C235" t="s">
        <v>907</v>
      </c>
      <c r="D235" t="s">
        <v>1434</v>
      </c>
      <c r="E235" t="s">
        <v>1948</v>
      </c>
      <c r="F235" t="s">
        <v>2443</v>
      </c>
    </row>
    <row r="236" spans="2:6">
      <c r="B236" t="s">
        <v>460</v>
      </c>
      <c r="C236" t="s">
        <v>1044</v>
      </c>
      <c r="D236" t="s">
        <v>1569</v>
      </c>
      <c r="E236" t="s">
        <v>1497</v>
      </c>
      <c r="F236" t="s">
        <v>2569</v>
      </c>
    </row>
    <row r="237" spans="2:6">
      <c r="B237" t="s">
        <v>297</v>
      </c>
      <c r="C237" t="s">
        <v>1268</v>
      </c>
      <c r="D237" t="s">
        <v>1784</v>
      </c>
      <c r="E237" t="s">
        <v>1571</v>
      </c>
      <c r="F237" t="s">
        <v>2774</v>
      </c>
    </row>
    <row r="238" spans="2:6">
      <c r="B238" t="s">
        <v>475</v>
      </c>
      <c r="C238" t="s">
        <v>1341</v>
      </c>
      <c r="D238" t="s">
        <v>1854</v>
      </c>
      <c r="E238" t="s">
        <v>2359</v>
      </c>
      <c r="F238" t="s">
        <v>2839</v>
      </c>
    </row>
    <row r="239" spans="2:6">
      <c r="B239" t="s">
        <v>377</v>
      </c>
      <c r="C239" t="s">
        <v>1120</v>
      </c>
      <c r="D239" t="s">
        <v>1646</v>
      </c>
      <c r="E239" t="s">
        <v>2151</v>
      </c>
      <c r="F239" t="s">
        <v>2643</v>
      </c>
    </row>
    <row r="240" spans="2:6">
      <c r="B240" t="s">
        <v>818</v>
      </c>
      <c r="C240" t="s">
        <v>919</v>
      </c>
      <c r="D240" t="s">
        <v>1446</v>
      </c>
      <c r="E240" t="s">
        <v>1960</v>
      </c>
      <c r="F240" t="s">
        <v>2453</v>
      </c>
    </row>
    <row r="241" spans="2:6">
      <c r="B241" t="s">
        <v>213</v>
      </c>
      <c r="C241" t="s">
        <v>1243</v>
      </c>
      <c r="D241" t="s">
        <v>1761</v>
      </c>
      <c r="E241" t="s">
        <v>2268</v>
      </c>
      <c r="F241" t="s">
        <v>2750</v>
      </c>
    </row>
    <row r="242" spans="2:6">
      <c r="B242" t="s">
        <v>290</v>
      </c>
      <c r="C242" t="s">
        <v>912</v>
      </c>
      <c r="D242" t="s">
        <v>1439</v>
      </c>
      <c r="E242" t="s">
        <v>1953</v>
      </c>
      <c r="F242" t="s">
        <v>2447</v>
      </c>
    </row>
    <row r="243" spans="2:6">
      <c r="B243" t="s">
        <v>504</v>
      </c>
      <c r="C243" t="s">
        <v>1093</v>
      </c>
      <c r="D243" t="s">
        <v>1619</v>
      </c>
      <c r="E243" t="s">
        <v>2125</v>
      </c>
      <c r="F243" t="s">
        <v>2617</v>
      </c>
    </row>
    <row r="244" spans="2:6">
      <c r="B244" t="s">
        <v>123</v>
      </c>
      <c r="C244" t="s">
        <v>1361</v>
      </c>
      <c r="D244" t="s">
        <v>1874</v>
      </c>
      <c r="E244" t="s">
        <v>2150</v>
      </c>
      <c r="F244" t="s">
        <v>2859</v>
      </c>
    </row>
    <row r="245" spans="2:6">
      <c r="B245" t="s">
        <v>50</v>
      </c>
      <c r="C245" t="s">
        <v>881</v>
      </c>
      <c r="D245" t="s">
        <v>1409</v>
      </c>
      <c r="E245" t="s">
        <v>1922</v>
      </c>
      <c r="F245" t="s">
        <v>2423</v>
      </c>
    </row>
    <row r="246" spans="2:6">
      <c r="B246" t="s">
        <v>198</v>
      </c>
      <c r="C246" t="s">
        <v>1310</v>
      </c>
      <c r="D246" t="s">
        <v>1823</v>
      </c>
      <c r="E246" t="s">
        <v>1750</v>
      </c>
      <c r="F246" t="s">
        <v>2813</v>
      </c>
    </row>
    <row r="247" spans="2:6">
      <c r="B247" t="s">
        <v>465</v>
      </c>
      <c r="C247" t="s">
        <v>1143</v>
      </c>
      <c r="D247" t="s">
        <v>1668</v>
      </c>
      <c r="E247" t="s">
        <v>2173</v>
      </c>
      <c r="F247" t="s">
        <v>2663</v>
      </c>
    </row>
    <row r="248" spans="2:6">
      <c r="B248" t="s">
        <v>70</v>
      </c>
      <c r="C248" t="s">
        <v>1161</v>
      </c>
      <c r="D248" t="s">
        <v>1686</v>
      </c>
      <c r="E248" t="s">
        <v>2191</v>
      </c>
      <c r="F248" t="s">
        <v>2679</v>
      </c>
    </row>
    <row r="249" spans="2:6">
      <c r="B249" t="s">
        <v>112</v>
      </c>
      <c r="C249" t="s">
        <v>1028</v>
      </c>
      <c r="D249" t="s">
        <v>1554</v>
      </c>
      <c r="E249" t="s">
        <v>2067</v>
      </c>
      <c r="F249" t="s">
        <v>2557</v>
      </c>
    </row>
    <row r="250" spans="2:6">
      <c r="B250" t="s">
        <v>378</v>
      </c>
      <c r="C250" t="s">
        <v>918</v>
      </c>
      <c r="D250" t="s">
        <v>1445</v>
      </c>
      <c r="E250" t="s">
        <v>1959</v>
      </c>
      <c r="F250" t="s">
        <v>2452</v>
      </c>
    </row>
    <row r="251" spans="2:6">
      <c r="B251" t="s">
        <v>231</v>
      </c>
      <c r="C251" t="s">
        <v>1255</v>
      </c>
      <c r="D251" t="s">
        <v>1772</v>
      </c>
      <c r="E251" t="s">
        <v>2280</v>
      </c>
      <c r="F251" t="s">
        <v>2762</v>
      </c>
    </row>
    <row r="252" spans="2:6">
      <c r="B252" t="s">
        <v>505</v>
      </c>
      <c r="C252" t="s">
        <v>928</v>
      </c>
      <c r="D252" t="s">
        <v>1455</v>
      </c>
      <c r="E252" t="s">
        <v>1969</v>
      </c>
      <c r="F252" t="s">
        <v>2461</v>
      </c>
    </row>
    <row r="253" spans="2:6">
      <c r="B253" t="s">
        <v>83</v>
      </c>
      <c r="C253" t="s">
        <v>852</v>
      </c>
      <c r="D253" t="s">
        <v>1384</v>
      </c>
      <c r="E253" t="s">
        <v>1897</v>
      </c>
      <c r="F253" t="s">
        <v>2399</v>
      </c>
    </row>
    <row r="254" spans="2:6">
      <c r="B254" t="s">
        <v>483</v>
      </c>
      <c r="C254" t="s">
        <v>1051</v>
      </c>
      <c r="D254" t="s">
        <v>1576</v>
      </c>
      <c r="E254" t="s">
        <v>2088</v>
      </c>
      <c r="F254" t="s">
        <v>2576</v>
      </c>
    </row>
    <row r="255" spans="2:6">
      <c r="B255" t="s">
        <v>80</v>
      </c>
      <c r="C255" t="s">
        <v>855</v>
      </c>
      <c r="D255" t="s">
        <v>1387</v>
      </c>
      <c r="E255" t="s">
        <v>1900</v>
      </c>
      <c r="F255" t="s">
        <v>2396</v>
      </c>
    </row>
    <row r="256" spans="2:6">
      <c r="B256" t="s">
        <v>825</v>
      </c>
      <c r="C256" t="s">
        <v>1128</v>
      </c>
      <c r="D256" t="s">
        <v>1654</v>
      </c>
      <c r="E256" t="s">
        <v>2158</v>
      </c>
      <c r="F256" t="s">
        <v>1291</v>
      </c>
    </row>
    <row r="257" spans="2:6">
      <c r="B257" t="s">
        <v>164</v>
      </c>
      <c r="C257" t="s">
        <v>1003</v>
      </c>
      <c r="D257" t="s">
        <v>1530</v>
      </c>
      <c r="E257" t="s">
        <v>2043</v>
      </c>
      <c r="F257" t="s">
        <v>2533</v>
      </c>
    </row>
    <row r="258" spans="2:6">
      <c r="B258" t="s">
        <v>352</v>
      </c>
      <c r="C258" t="s">
        <v>1055</v>
      </c>
      <c r="D258" t="s">
        <v>1580</v>
      </c>
      <c r="E258" t="s">
        <v>1441</v>
      </c>
      <c r="F258" t="s">
        <v>2580</v>
      </c>
    </row>
    <row r="259" spans="2:6">
      <c r="B259" t="s">
        <v>286</v>
      </c>
      <c r="C259" t="s">
        <v>910</v>
      </c>
      <c r="D259" t="s">
        <v>1437</v>
      </c>
      <c r="E259" t="s">
        <v>1951</v>
      </c>
      <c r="F259" t="s">
        <v>2445</v>
      </c>
    </row>
    <row r="260" spans="2:6">
      <c r="B260" t="s">
        <v>166</v>
      </c>
      <c r="C260" t="s">
        <v>906</v>
      </c>
      <c r="D260" t="s">
        <v>1433</v>
      </c>
      <c r="E260" t="s">
        <v>1947</v>
      </c>
      <c r="F260" t="s">
        <v>2442</v>
      </c>
    </row>
    <row r="261" spans="2:6">
      <c r="B261" t="s">
        <v>357</v>
      </c>
      <c r="C261" t="s">
        <v>1338</v>
      </c>
      <c r="D261" t="s">
        <v>1851</v>
      </c>
      <c r="E261" t="s">
        <v>2356</v>
      </c>
      <c r="F261" t="s">
        <v>2836</v>
      </c>
    </row>
    <row r="262" spans="2:6">
      <c r="B262" t="s">
        <v>499</v>
      </c>
      <c r="C262" t="s">
        <v>1114</v>
      </c>
      <c r="D262" t="s">
        <v>1640</v>
      </c>
      <c r="E262" t="s">
        <v>2145</v>
      </c>
      <c r="F262" t="s">
        <v>2638</v>
      </c>
    </row>
    <row r="263" spans="2:6">
      <c r="B263" t="s">
        <v>266</v>
      </c>
      <c r="C263" t="s">
        <v>963</v>
      </c>
      <c r="D263" t="s">
        <v>1490</v>
      </c>
      <c r="E263" t="s">
        <v>2004</v>
      </c>
      <c r="F263" t="s">
        <v>2495</v>
      </c>
    </row>
    <row r="264" spans="2:6">
      <c r="B264" t="s">
        <v>156</v>
      </c>
      <c r="C264" t="s">
        <v>1054</v>
      </c>
      <c r="D264" t="s">
        <v>1579</v>
      </c>
      <c r="E264" t="s">
        <v>2091</v>
      </c>
      <c r="F264" t="s">
        <v>2579</v>
      </c>
    </row>
    <row r="265" spans="2:6">
      <c r="B265" t="s">
        <v>82</v>
      </c>
      <c r="C265" t="s">
        <v>856</v>
      </c>
      <c r="D265" t="s">
        <v>1388</v>
      </c>
      <c r="E265" t="s">
        <v>1901</v>
      </c>
      <c r="F265" t="s">
        <v>2402</v>
      </c>
    </row>
    <row r="266" spans="2:6">
      <c r="B266" t="s">
        <v>487</v>
      </c>
      <c r="C266" t="s">
        <v>1011</v>
      </c>
      <c r="D266" t="s">
        <v>1538</v>
      </c>
      <c r="E266" t="s">
        <v>2050</v>
      </c>
      <c r="F266" t="s">
        <v>2540</v>
      </c>
    </row>
    <row r="267" spans="2:6">
      <c r="B267" t="s">
        <v>448</v>
      </c>
      <c r="C267" t="s">
        <v>1300</v>
      </c>
      <c r="D267" t="s">
        <v>1814</v>
      </c>
      <c r="E267" t="s">
        <v>2322</v>
      </c>
      <c r="F267" t="s">
        <v>2803</v>
      </c>
    </row>
    <row r="268" spans="2:6">
      <c r="B268" t="s">
        <v>78</v>
      </c>
      <c r="C268" t="s">
        <v>1231</v>
      </c>
      <c r="D268" t="s">
        <v>1596</v>
      </c>
      <c r="E268" t="s">
        <v>2256</v>
      </c>
      <c r="F268" t="s">
        <v>2741</v>
      </c>
    </row>
    <row r="269" spans="2:6">
      <c r="B269" t="s">
        <v>203</v>
      </c>
      <c r="C269" t="s">
        <v>1012</v>
      </c>
      <c r="D269" t="s">
        <v>1317</v>
      </c>
      <c r="E269" t="s">
        <v>2051</v>
      </c>
      <c r="F269" t="s">
        <v>2541</v>
      </c>
    </row>
    <row r="270" spans="2:6">
      <c r="B270" t="s">
        <v>197</v>
      </c>
      <c r="C270" t="s">
        <v>1070</v>
      </c>
      <c r="D270" t="s">
        <v>1595</v>
      </c>
      <c r="E270" t="s">
        <v>2104</v>
      </c>
      <c r="F270" t="s">
        <v>2594</v>
      </c>
    </row>
    <row r="271" spans="2:6">
      <c r="B271" t="s">
        <v>87</v>
      </c>
      <c r="C271" t="s">
        <v>1005</v>
      </c>
      <c r="D271" t="s">
        <v>1532</v>
      </c>
      <c r="E271" t="s">
        <v>2045</v>
      </c>
      <c r="F271" t="s">
        <v>2045</v>
      </c>
    </row>
    <row r="272" spans="2:6">
      <c r="B272" t="s">
        <v>73</v>
      </c>
      <c r="C272" t="s">
        <v>956</v>
      </c>
      <c r="D272" t="s">
        <v>1483</v>
      </c>
      <c r="E272" t="s">
        <v>1997</v>
      </c>
      <c r="F272" t="s">
        <v>2488</v>
      </c>
    </row>
    <row r="273" spans="2:6">
      <c r="B273" t="s">
        <v>165</v>
      </c>
      <c r="C273" t="s">
        <v>1095</v>
      </c>
      <c r="D273" t="s">
        <v>1621</v>
      </c>
      <c r="E273" t="s">
        <v>2127</v>
      </c>
      <c r="F273" t="s">
        <v>2619</v>
      </c>
    </row>
    <row r="274" spans="2:6">
      <c r="B274" t="s">
        <v>485</v>
      </c>
      <c r="C274" t="s">
        <v>1272</v>
      </c>
      <c r="D274" t="s">
        <v>1787</v>
      </c>
      <c r="E274" t="s">
        <v>2295</v>
      </c>
      <c r="F274" t="s">
        <v>2778</v>
      </c>
    </row>
    <row r="275" spans="2:6">
      <c r="B275" t="s">
        <v>474</v>
      </c>
      <c r="C275" t="s">
        <v>1359</v>
      </c>
      <c r="D275" t="s">
        <v>1872</v>
      </c>
      <c r="E275" t="s">
        <v>2376</v>
      </c>
      <c r="F275" t="s">
        <v>2857</v>
      </c>
    </row>
    <row r="276" spans="2:6">
      <c r="B276" t="s">
        <v>15</v>
      </c>
      <c r="C276" t="s">
        <v>917</v>
      </c>
      <c r="D276" t="s">
        <v>1444</v>
      </c>
      <c r="E276" t="s">
        <v>1958</v>
      </c>
      <c r="F276" t="s">
        <v>2451</v>
      </c>
    </row>
    <row r="277" spans="2:6">
      <c r="B277" t="s">
        <v>44</v>
      </c>
      <c r="C277" t="s">
        <v>1211</v>
      </c>
      <c r="D277" t="s">
        <v>1733</v>
      </c>
      <c r="E277" t="s">
        <v>2236</v>
      </c>
      <c r="F277" t="s">
        <v>2724</v>
      </c>
    </row>
    <row r="278" spans="2:6">
      <c r="B278" t="s">
        <v>313</v>
      </c>
      <c r="C278" t="s">
        <v>1298</v>
      </c>
      <c r="D278" t="s">
        <v>1812</v>
      </c>
      <c r="E278" t="s">
        <v>2320</v>
      </c>
      <c r="F278" t="s">
        <v>2801</v>
      </c>
    </row>
    <row r="279" spans="2:6">
      <c r="B279" t="s">
        <v>85</v>
      </c>
      <c r="C279" t="s">
        <v>1223</v>
      </c>
      <c r="D279" t="s">
        <v>1744</v>
      </c>
      <c r="E279" t="s">
        <v>2248</v>
      </c>
      <c r="F279" t="s">
        <v>2734</v>
      </c>
    </row>
    <row r="280" spans="2:6">
      <c r="B280" t="s">
        <v>455</v>
      </c>
      <c r="C280" t="s">
        <v>1234</v>
      </c>
      <c r="D280" t="s">
        <v>1753</v>
      </c>
      <c r="E280" t="s">
        <v>2259</v>
      </c>
      <c r="F280" t="s">
        <v>2147</v>
      </c>
    </row>
    <row r="281" spans="2:6">
      <c r="B281" t="s">
        <v>310</v>
      </c>
      <c r="C281" t="s">
        <v>1083</v>
      </c>
      <c r="D281" t="s">
        <v>1609</v>
      </c>
      <c r="E281" t="s">
        <v>2115</v>
      </c>
      <c r="F281" t="s">
        <v>2607</v>
      </c>
    </row>
    <row r="282" spans="2:6">
      <c r="B282" t="s">
        <v>140</v>
      </c>
      <c r="C282" t="s">
        <v>921</v>
      </c>
      <c r="D282" t="s">
        <v>1448</v>
      </c>
      <c r="E282" t="s">
        <v>1962</v>
      </c>
      <c r="F282" t="s">
        <v>2455</v>
      </c>
    </row>
    <row r="283" spans="2:6">
      <c r="B283" t="s">
        <v>495</v>
      </c>
      <c r="C283" t="s">
        <v>1282</v>
      </c>
      <c r="D283" t="s">
        <v>1797</v>
      </c>
      <c r="E283" t="s">
        <v>2304</v>
      </c>
      <c r="F283" t="s">
        <v>2786</v>
      </c>
    </row>
    <row r="284" spans="2:6">
      <c r="B284" t="s">
        <v>9</v>
      </c>
      <c r="C284" t="s">
        <v>1045</v>
      </c>
      <c r="D284" t="s">
        <v>1570</v>
      </c>
      <c r="E284" t="s">
        <v>2082</v>
      </c>
      <c r="F284" t="s">
        <v>2570</v>
      </c>
    </row>
    <row r="285" spans="2:6">
      <c r="B285" t="s">
        <v>810</v>
      </c>
      <c r="C285" t="s">
        <v>863</v>
      </c>
      <c r="D285" t="s">
        <v>1393</v>
      </c>
      <c r="E285" t="s">
        <v>1907</v>
      </c>
      <c r="F285" t="s">
        <v>1907</v>
      </c>
    </row>
    <row r="286" spans="2:6">
      <c r="B286" t="s">
        <v>309</v>
      </c>
      <c r="C286" t="s">
        <v>1025</v>
      </c>
      <c r="D286" t="s">
        <v>1551</v>
      </c>
      <c r="E286" t="s">
        <v>2064</v>
      </c>
      <c r="F286" t="s">
        <v>2554</v>
      </c>
    </row>
    <row r="287" spans="2:6">
      <c r="B287" t="s">
        <v>307</v>
      </c>
      <c r="C287" t="s">
        <v>1115</v>
      </c>
      <c r="D287" t="s">
        <v>1641</v>
      </c>
      <c r="E287" t="s">
        <v>2146</v>
      </c>
      <c r="F287" t="s">
        <v>2639</v>
      </c>
    </row>
    <row r="288" spans="2:6">
      <c r="B288" t="s">
        <v>105</v>
      </c>
      <c r="C288" t="s">
        <v>946</v>
      </c>
      <c r="D288" t="s">
        <v>1473</v>
      </c>
      <c r="E288" t="s">
        <v>1987</v>
      </c>
      <c r="F288" t="s">
        <v>2478</v>
      </c>
    </row>
    <row r="289" spans="2:6">
      <c r="B289" t="s">
        <v>4</v>
      </c>
      <c r="C289" t="s">
        <v>1351</v>
      </c>
      <c r="D289" t="s">
        <v>1864</v>
      </c>
      <c r="E289" t="s">
        <v>2368</v>
      </c>
      <c r="F289" t="s">
        <v>2849</v>
      </c>
    </row>
    <row r="290" spans="2:6">
      <c r="B290" t="s">
        <v>157</v>
      </c>
      <c r="C290" t="s">
        <v>1199</v>
      </c>
      <c r="D290" t="s">
        <v>1722</v>
      </c>
      <c r="E290" t="s">
        <v>644</v>
      </c>
      <c r="F290" t="s">
        <v>2713</v>
      </c>
    </row>
    <row r="291" spans="2:6">
      <c r="B291" t="s">
        <v>110</v>
      </c>
      <c r="C291" t="s">
        <v>746</v>
      </c>
      <c r="D291" t="s">
        <v>1728</v>
      </c>
      <c r="E291" t="s">
        <v>550</v>
      </c>
      <c r="F291" t="s">
        <v>722</v>
      </c>
    </row>
    <row r="292" spans="2:6">
      <c r="B292" t="s">
        <v>488</v>
      </c>
      <c r="C292" t="s">
        <v>1266</v>
      </c>
      <c r="D292" t="s">
        <v>1782</v>
      </c>
      <c r="E292" t="s">
        <v>2290</v>
      </c>
      <c r="F292" t="s">
        <v>2772</v>
      </c>
    </row>
    <row r="293" spans="2:6">
      <c r="B293" t="s">
        <v>367</v>
      </c>
      <c r="C293" t="s">
        <v>1111</v>
      </c>
      <c r="D293" t="s">
        <v>1637</v>
      </c>
      <c r="E293" t="s">
        <v>2143</v>
      </c>
      <c r="F293" t="s">
        <v>2635</v>
      </c>
    </row>
    <row r="294" spans="2:6">
      <c r="B294" t="s">
        <v>822</v>
      </c>
      <c r="C294" t="s">
        <v>1067</v>
      </c>
      <c r="D294" t="s">
        <v>1592</v>
      </c>
      <c r="E294" t="s">
        <v>2102</v>
      </c>
      <c r="F294" t="s">
        <v>1765</v>
      </c>
    </row>
    <row r="295" spans="2:6">
      <c r="B295" t="s">
        <v>808</v>
      </c>
      <c r="C295" t="s">
        <v>1024</v>
      </c>
      <c r="D295" t="s">
        <v>1550</v>
      </c>
      <c r="E295" t="s">
        <v>2063</v>
      </c>
      <c r="F295" t="s">
        <v>2553</v>
      </c>
    </row>
    <row r="296" spans="2:6">
      <c r="B296" t="s">
        <v>356</v>
      </c>
      <c r="C296" t="s">
        <v>986</v>
      </c>
      <c r="D296" t="s">
        <v>1513</v>
      </c>
      <c r="E296" t="s">
        <v>2026</v>
      </c>
      <c r="F296" t="s">
        <v>2517</v>
      </c>
    </row>
    <row r="297" spans="2:6">
      <c r="B297" t="s">
        <v>444</v>
      </c>
      <c r="C297" t="s">
        <v>1104</v>
      </c>
      <c r="D297" t="s">
        <v>1630</v>
      </c>
      <c r="E297" t="s">
        <v>2136</v>
      </c>
      <c r="F297" t="s">
        <v>2628</v>
      </c>
    </row>
    <row r="298" spans="2:6">
      <c r="B298" t="s">
        <v>135</v>
      </c>
      <c r="C298" t="s">
        <v>949</v>
      </c>
      <c r="D298" t="s">
        <v>1476</v>
      </c>
      <c r="E298" t="s">
        <v>1990</v>
      </c>
      <c r="F298" t="s">
        <v>2481</v>
      </c>
    </row>
    <row r="299" spans="2:6">
      <c r="B299" t="s">
        <v>420</v>
      </c>
      <c r="C299" t="s">
        <v>945</v>
      </c>
      <c r="D299" t="s">
        <v>1472</v>
      </c>
      <c r="E299" t="s">
        <v>1986</v>
      </c>
      <c r="F299" t="s">
        <v>2477</v>
      </c>
    </row>
    <row r="300" spans="2:6">
      <c r="B300" t="s">
        <v>353</v>
      </c>
      <c r="C300" t="s">
        <v>885</v>
      </c>
      <c r="D300" t="s">
        <v>1412</v>
      </c>
      <c r="E300" t="s">
        <v>1926</v>
      </c>
      <c r="F300" t="s">
        <v>2426</v>
      </c>
    </row>
    <row r="301" spans="2:6">
      <c r="B301" t="s">
        <v>476</v>
      </c>
      <c r="C301" t="s">
        <v>934</v>
      </c>
      <c r="D301" t="s">
        <v>1461</v>
      </c>
      <c r="E301" t="s">
        <v>1975</v>
      </c>
      <c r="F301" t="s">
        <v>2467</v>
      </c>
    </row>
    <row r="302" spans="2:6">
      <c r="B302" t="s">
        <v>479</v>
      </c>
      <c r="C302" t="s">
        <v>1357</v>
      </c>
      <c r="D302" t="s">
        <v>1870</v>
      </c>
      <c r="E302" t="s">
        <v>2374</v>
      </c>
      <c r="F302" t="s">
        <v>2855</v>
      </c>
    </row>
    <row r="303" spans="2:6">
      <c r="B303" t="s">
        <v>480</v>
      </c>
      <c r="C303" t="s">
        <v>1307</v>
      </c>
      <c r="D303" t="s">
        <v>1820</v>
      </c>
      <c r="E303" t="s">
        <v>2328</v>
      </c>
      <c r="F303" t="s">
        <v>2810</v>
      </c>
    </row>
    <row r="304" spans="2:6">
      <c r="B304" t="s">
        <v>262</v>
      </c>
      <c r="C304" t="s">
        <v>1121</v>
      </c>
      <c r="D304" t="s">
        <v>1647</v>
      </c>
      <c r="E304" t="s">
        <v>2152</v>
      </c>
      <c r="F304" t="s">
        <v>2644</v>
      </c>
    </row>
    <row r="305" spans="2:6">
      <c r="B305" t="s">
        <v>10</v>
      </c>
      <c r="C305" t="s">
        <v>1081</v>
      </c>
      <c r="D305" t="s">
        <v>1607</v>
      </c>
      <c r="E305" t="s">
        <v>2113</v>
      </c>
      <c r="F305" t="s">
        <v>2605</v>
      </c>
    </row>
    <row r="306" spans="2:6">
      <c r="B306" t="s">
        <v>75</v>
      </c>
      <c r="C306" t="s">
        <v>853</v>
      </c>
      <c r="D306" t="s">
        <v>1385</v>
      </c>
      <c r="E306" t="s">
        <v>1898</v>
      </c>
      <c r="F306" t="s">
        <v>2400</v>
      </c>
    </row>
    <row r="307" spans="2:6">
      <c r="B307" t="s">
        <v>81</v>
      </c>
      <c r="C307" t="s">
        <v>901</v>
      </c>
      <c r="D307" t="s">
        <v>1428</v>
      </c>
      <c r="E307" t="s">
        <v>1942</v>
      </c>
      <c r="F307" t="s">
        <v>2438</v>
      </c>
    </row>
    <row r="308" spans="2:6">
      <c r="B308" t="s">
        <v>74</v>
      </c>
      <c r="C308" t="s">
        <v>890</v>
      </c>
      <c r="D308" t="s">
        <v>1417</v>
      </c>
      <c r="E308" t="s">
        <v>1931</v>
      </c>
      <c r="F308" t="s">
        <v>2430</v>
      </c>
    </row>
    <row r="309" spans="2:6">
      <c r="B309" t="s">
        <v>831</v>
      </c>
      <c r="C309" t="s">
        <v>1256</v>
      </c>
      <c r="D309" t="s">
        <v>1773</v>
      </c>
      <c r="E309" t="s">
        <v>2281</v>
      </c>
      <c r="F309" t="s">
        <v>2763</v>
      </c>
    </row>
    <row r="310" spans="2:6">
      <c r="B310" t="s">
        <v>809</v>
      </c>
      <c r="C310" t="s">
        <v>860</v>
      </c>
      <c r="D310" t="s">
        <v>1391</v>
      </c>
      <c r="E310" t="s">
        <v>1904</v>
      </c>
      <c r="F310" t="s">
        <v>2406</v>
      </c>
    </row>
    <row r="311" spans="2:6">
      <c r="B311" t="s">
        <v>500</v>
      </c>
      <c r="C311" t="s">
        <v>920</v>
      </c>
      <c r="D311" t="s">
        <v>1447</v>
      </c>
      <c r="E311" t="s">
        <v>1961</v>
      </c>
      <c r="F311" t="s">
        <v>2454</v>
      </c>
    </row>
    <row r="312" spans="2:6">
      <c r="B312" t="s">
        <v>236</v>
      </c>
      <c r="C312" t="s">
        <v>1014</v>
      </c>
      <c r="D312" t="s">
        <v>1540</v>
      </c>
      <c r="E312" t="s">
        <v>2053</v>
      </c>
      <c r="F312" t="s">
        <v>2543</v>
      </c>
    </row>
    <row r="313" spans="2:6">
      <c r="B313" t="s">
        <v>334</v>
      </c>
      <c r="C313" t="s">
        <v>1060</v>
      </c>
      <c r="D313" t="s">
        <v>1585</v>
      </c>
      <c r="E313" t="s">
        <v>2096</v>
      </c>
      <c r="F313" t="s">
        <v>2585</v>
      </c>
    </row>
    <row r="314" spans="2:6">
      <c r="B314" t="s">
        <v>162</v>
      </c>
      <c r="C314" t="s">
        <v>1324</v>
      </c>
      <c r="D314" t="s">
        <v>1837</v>
      </c>
      <c r="E314" t="s">
        <v>2342</v>
      </c>
      <c r="F314" t="s">
        <v>2825</v>
      </c>
    </row>
    <row r="315" spans="2:6">
      <c r="B315" t="s">
        <v>344</v>
      </c>
      <c r="C315" t="s">
        <v>1290</v>
      </c>
      <c r="D315" t="s">
        <v>1804</v>
      </c>
      <c r="E315" t="s">
        <v>2312</v>
      </c>
      <c r="F315" t="s">
        <v>1760</v>
      </c>
    </row>
    <row r="316" spans="2:6">
      <c r="B316" t="s">
        <v>241</v>
      </c>
      <c r="C316" t="s">
        <v>1030</v>
      </c>
      <c r="D316" t="s">
        <v>1556</v>
      </c>
      <c r="E316" t="s">
        <v>2069</v>
      </c>
      <c r="F316" t="s">
        <v>2558</v>
      </c>
    </row>
    <row r="317" spans="2:6">
      <c r="B317" t="s">
        <v>379</v>
      </c>
      <c r="C317" t="s">
        <v>1216</v>
      </c>
      <c r="D317" t="s">
        <v>1737</v>
      </c>
      <c r="E317" t="s">
        <v>2241</v>
      </c>
      <c r="F317" t="s">
        <v>2728</v>
      </c>
    </row>
    <row r="318" spans="2:6">
      <c r="B318" t="s">
        <v>342</v>
      </c>
      <c r="C318" t="s">
        <v>1100</v>
      </c>
      <c r="D318" t="s">
        <v>1626</v>
      </c>
      <c r="E318" t="s">
        <v>2132</v>
      </c>
      <c r="F318" t="s">
        <v>2624</v>
      </c>
    </row>
    <row r="319" spans="2:6">
      <c r="B319" t="s">
        <v>441</v>
      </c>
      <c r="C319" t="s">
        <v>1209</v>
      </c>
      <c r="D319" t="s">
        <v>1731</v>
      </c>
      <c r="E319" t="s">
        <v>2235</v>
      </c>
      <c r="F319" t="s">
        <v>2722</v>
      </c>
    </row>
    <row r="320" spans="2:6">
      <c r="B320" t="s">
        <v>289</v>
      </c>
      <c r="C320" t="s">
        <v>1250</v>
      </c>
      <c r="D320" t="s">
        <v>1254</v>
      </c>
      <c r="E320" t="s">
        <v>2275</v>
      </c>
      <c r="F320" t="s">
        <v>2758</v>
      </c>
    </row>
    <row r="321" spans="2:6">
      <c r="B321" t="s">
        <v>196</v>
      </c>
      <c r="C321" t="s">
        <v>888</v>
      </c>
      <c r="D321" t="s">
        <v>1415</v>
      </c>
      <c r="E321" t="s">
        <v>1929</v>
      </c>
      <c r="F321" t="s">
        <v>2428</v>
      </c>
    </row>
    <row r="322" spans="2:6">
      <c r="B322" t="s">
        <v>210</v>
      </c>
      <c r="C322" t="s">
        <v>879</v>
      </c>
      <c r="D322" t="s">
        <v>1407</v>
      </c>
      <c r="E322" t="s">
        <v>1920</v>
      </c>
      <c r="F322" t="s">
        <v>2421</v>
      </c>
    </row>
    <row r="323" spans="2:6">
      <c r="B323" t="s">
        <v>232</v>
      </c>
      <c r="C323" t="s">
        <v>930</v>
      </c>
      <c r="D323" t="s">
        <v>1457</v>
      </c>
      <c r="E323" t="s">
        <v>1971</v>
      </c>
      <c r="F323" t="s">
        <v>2463</v>
      </c>
    </row>
    <row r="324" spans="2:6">
      <c r="B324" t="s">
        <v>410</v>
      </c>
      <c r="C324" t="s">
        <v>899</v>
      </c>
      <c r="D324" t="s">
        <v>1426</v>
      </c>
      <c r="E324" t="s">
        <v>1940</v>
      </c>
      <c r="F324" t="s">
        <v>873</v>
      </c>
    </row>
    <row r="325" spans="2:6">
      <c r="B325" t="s">
        <v>181</v>
      </c>
      <c r="C325" t="s">
        <v>1296</v>
      </c>
      <c r="D325" t="s">
        <v>1810</v>
      </c>
      <c r="E325" t="s">
        <v>2318</v>
      </c>
      <c r="F325" t="s">
        <v>2799</v>
      </c>
    </row>
    <row r="326" spans="2:6">
      <c r="B326" t="s">
        <v>33</v>
      </c>
      <c r="C326" t="s">
        <v>868</v>
      </c>
      <c r="D326" t="s">
        <v>1397</v>
      </c>
      <c r="E326" t="s">
        <v>1910</v>
      </c>
      <c r="F326" t="s">
        <v>2412</v>
      </c>
    </row>
    <row r="327" spans="2:6">
      <c r="B327" t="s">
        <v>298</v>
      </c>
      <c r="C327" t="s">
        <v>1123</v>
      </c>
      <c r="D327" t="s">
        <v>1649</v>
      </c>
      <c r="E327" t="s">
        <v>2153</v>
      </c>
      <c r="F327" t="s">
        <v>2645</v>
      </c>
    </row>
    <row r="328" spans="2:6">
      <c r="B328" t="s">
        <v>278</v>
      </c>
      <c r="C328" t="s">
        <v>1267</v>
      </c>
      <c r="D328" t="s">
        <v>1783</v>
      </c>
      <c r="E328" t="s">
        <v>2291</v>
      </c>
      <c r="F328" t="s">
        <v>2773</v>
      </c>
    </row>
    <row r="329" spans="2:6">
      <c r="B329" t="s">
        <v>49</v>
      </c>
      <c r="C329" t="s">
        <v>882</v>
      </c>
      <c r="D329" t="s">
        <v>1410</v>
      </c>
      <c r="E329" t="s">
        <v>1923</v>
      </c>
      <c r="F329" t="s">
        <v>2424</v>
      </c>
    </row>
    <row r="330" spans="2:6">
      <c r="B330" t="s">
        <v>821</v>
      </c>
      <c r="C330" t="s">
        <v>1035</v>
      </c>
      <c r="D330" t="s">
        <v>1561</v>
      </c>
      <c r="E330" t="s">
        <v>2073</v>
      </c>
      <c r="F330" t="s">
        <v>2563</v>
      </c>
    </row>
    <row r="331" spans="2:6">
      <c r="B331" t="s">
        <v>149</v>
      </c>
      <c r="C331" t="s">
        <v>1318</v>
      </c>
      <c r="D331" t="s">
        <v>1831</v>
      </c>
      <c r="E331" t="s">
        <v>1831</v>
      </c>
      <c r="F331" t="s">
        <v>1831</v>
      </c>
    </row>
    <row r="332" spans="2:6">
      <c r="B332" t="s">
        <v>190</v>
      </c>
      <c r="C332" t="s">
        <v>955</v>
      </c>
      <c r="D332" t="s">
        <v>1482</v>
      </c>
      <c r="E332" t="s">
        <v>1996</v>
      </c>
      <c r="F332" t="s">
        <v>2487</v>
      </c>
    </row>
    <row r="333" spans="2:6">
      <c r="B333" t="s">
        <v>184</v>
      </c>
      <c r="C333" t="s">
        <v>1183</v>
      </c>
      <c r="D333" t="s">
        <v>1707</v>
      </c>
      <c r="E333" t="s">
        <v>618</v>
      </c>
      <c r="F333" t="s">
        <v>515</v>
      </c>
    </row>
    <row r="334" spans="2:6">
      <c r="B334" t="s">
        <v>451</v>
      </c>
      <c r="C334" t="s">
        <v>1173</v>
      </c>
      <c r="D334" t="s">
        <v>1698</v>
      </c>
      <c r="E334" t="s">
        <v>2203</v>
      </c>
      <c r="F334" t="s">
        <v>2690</v>
      </c>
    </row>
    <row r="335" spans="2:6">
      <c r="B335" t="s">
        <v>812</v>
      </c>
      <c r="C335" t="s">
        <v>1348</v>
      </c>
      <c r="D335" t="s">
        <v>1861</v>
      </c>
      <c r="E335" t="s">
        <v>1382</v>
      </c>
      <c r="F335" t="s">
        <v>2846</v>
      </c>
    </row>
    <row r="336" spans="2:6">
      <c r="B336" t="s">
        <v>38</v>
      </c>
      <c r="C336" t="s">
        <v>1000</v>
      </c>
      <c r="D336" t="s">
        <v>1527</v>
      </c>
      <c r="E336" t="s">
        <v>2040</v>
      </c>
      <c r="F336" t="s">
        <v>2530</v>
      </c>
    </row>
    <row r="337" spans="2:6">
      <c r="B337" t="s">
        <v>816</v>
      </c>
      <c r="C337" t="s">
        <v>878</v>
      </c>
      <c r="D337" t="s">
        <v>1406</v>
      </c>
      <c r="E337" t="s">
        <v>1919</v>
      </c>
      <c r="F337" t="s">
        <v>2420</v>
      </c>
    </row>
    <row r="338" spans="2:6">
      <c r="B338" t="s">
        <v>820</v>
      </c>
      <c r="C338" t="s">
        <v>1027</v>
      </c>
      <c r="D338" t="s">
        <v>1553</v>
      </c>
      <c r="E338" t="s">
        <v>2066</v>
      </c>
      <c r="F338" t="s">
        <v>2556</v>
      </c>
    </row>
    <row r="339" spans="2:6">
      <c r="B339" t="s">
        <v>817</v>
      </c>
      <c r="C339" t="s">
        <v>897</v>
      </c>
      <c r="D339" t="s">
        <v>1424</v>
      </c>
      <c r="E339" t="s">
        <v>1938</v>
      </c>
      <c r="F339" t="s">
        <v>1903</v>
      </c>
    </row>
    <row r="340" spans="2:6">
      <c r="B340" t="s">
        <v>29</v>
      </c>
      <c r="C340" t="s">
        <v>1322</v>
      </c>
      <c r="D340" t="s">
        <v>1835</v>
      </c>
      <c r="E340" t="s">
        <v>2340</v>
      </c>
      <c r="F340" t="s">
        <v>2823</v>
      </c>
    </row>
    <row r="341" spans="2:6">
      <c r="B341" t="s">
        <v>43</v>
      </c>
      <c r="C341" t="s">
        <v>889</v>
      </c>
      <c r="D341" t="s">
        <v>1416</v>
      </c>
      <c r="E341" t="s">
        <v>1930</v>
      </c>
      <c r="F341" t="s">
        <v>2429</v>
      </c>
    </row>
    <row r="342" spans="2:6">
      <c r="B342" t="s">
        <v>426</v>
      </c>
      <c r="C342" t="s">
        <v>995</v>
      </c>
      <c r="D342" t="s">
        <v>1522</v>
      </c>
      <c r="E342" t="s">
        <v>2035</v>
      </c>
      <c r="F342" t="s">
        <v>2525</v>
      </c>
    </row>
    <row r="343" spans="2:6">
      <c r="B343" t="s">
        <v>240</v>
      </c>
      <c r="C343" t="s">
        <v>953</v>
      </c>
      <c r="D343" t="s">
        <v>1480</v>
      </c>
      <c r="E343" t="s">
        <v>1994</v>
      </c>
      <c r="F343" t="s">
        <v>2485</v>
      </c>
    </row>
    <row r="344" spans="2:6">
      <c r="B344" t="s">
        <v>291</v>
      </c>
      <c r="C344" t="s">
        <v>1076</v>
      </c>
      <c r="D344" t="s">
        <v>1602</v>
      </c>
      <c r="E344" t="s">
        <v>2110</v>
      </c>
      <c r="F344" t="s">
        <v>2601</v>
      </c>
    </row>
    <row r="345" spans="2:6">
      <c r="B345" t="s">
        <v>205</v>
      </c>
      <c r="C345" t="s">
        <v>868</v>
      </c>
      <c r="D345" t="s">
        <v>1398</v>
      </c>
      <c r="E345" t="s">
        <v>1397</v>
      </c>
      <c r="F345" t="s">
        <v>1398</v>
      </c>
    </row>
    <row r="346" spans="2:6">
      <c r="B346" t="s">
        <v>284</v>
      </c>
      <c r="C346" t="s">
        <v>1074</v>
      </c>
      <c r="D346" t="s">
        <v>1600</v>
      </c>
      <c r="E346" t="s">
        <v>2108</v>
      </c>
      <c r="F346" t="s">
        <v>2599</v>
      </c>
    </row>
    <row r="347" spans="2:6">
      <c r="B347" t="s">
        <v>331</v>
      </c>
      <c r="C347" t="s">
        <v>1312</v>
      </c>
      <c r="D347" t="s">
        <v>1825</v>
      </c>
      <c r="E347" t="s">
        <v>2332</v>
      </c>
      <c r="F347" t="s">
        <v>2815</v>
      </c>
    </row>
    <row r="348" spans="2:6">
      <c r="B348" t="s">
        <v>285</v>
      </c>
      <c r="C348" t="s">
        <v>1056</v>
      </c>
      <c r="D348" t="s">
        <v>1581</v>
      </c>
      <c r="E348" t="s">
        <v>2092</v>
      </c>
      <c r="F348" t="s">
        <v>2581</v>
      </c>
    </row>
    <row r="349" spans="2:6">
      <c r="B349" t="s">
        <v>62</v>
      </c>
      <c r="C349" t="s">
        <v>905</v>
      </c>
      <c r="D349" t="s">
        <v>1432</v>
      </c>
      <c r="E349" t="s">
        <v>1946</v>
      </c>
      <c r="F349" t="s">
        <v>2441</v>
      </c>
    </row>
    <row r="350" spans="2:6">
      <c r="B350" t="s">
        <v>218</v>
      </c>
      <c r="C350" t="s">
        <v>933</v>
      </c>
      <c r="D350" t="s">
        <v>1460</v>
      </c>
      <c r="E350" t="s">
        <v>1974</v>
      </c>
      <c r="F350" t="s">
        <v>2466</v>
      </c>
    </row>
    <row r="351" spans="2:6">
      <c r="B351" t="s">
        <v>211</v>
      </c>
      <c r="C351" t="s">
        <v>1190</v>
      </c>
      <c r="D351" t="s">
        <v>1715</v>
      </c>
      <c r="E351" t="s">
        <v>2218</v>
      </c>
      <c r="F351" t="s">
        <v>2706</v>
      </c>
    </row>
    <row r="352" spans="2:6">
      <c r="B352" t="s">
        <v>242</v>
      </c>
      <c r="C352" t="s">
        <v>1283</v>
      </c>
      <c r="D352" t="s">
        <v>1278</v>
      </c>
      <c r="E352" t="s">
        <v>2305</v>
      </c>
      <c r="F352" t="s">
        <v>2787</v>
      </c>
    </row>
    <row r="353" spans="2:6">
      <c r="B353" t="s">
        <v>362</v>
      </c>
      <c r="C353" t="s">
        <v>1305</v>
      </c>
      <c r="D353" t="s">
        <v>1819</v>
      </c>
      <c r="E353" t="s">
        <v>2326</v>
      </c>
      <c r="F353" t="s">
        <v>2808</v>
      </c>
    </row>
    <row r="354" spans="2:6">
      <c r="B354" t="s">
        <v>827</v>
      </c>
      <c r="C354" t="s">
        <v>1151</v>
      </c>
      <c r="D354" t="s">
        <v>1676</v>
      </c>
      <c r="E354" t="s">
        <v>2181</v>
      </c>
      <c r="F354" t="s">
        <v>2670</v>
      </c>
    </row>
    <row r="355" spans="2:6">
      <c r="B355" t="s">
        <v>116</v>
      </c>
      <c r="C355" t="s">
        <v>929</v>
      </c>
      <c r="D355" t="s">
        <v>1456</v>
      </c>
      <c r="E355" t="s">
        <v>1970</v>
      </c>
      <c r="F355" t="s">
        <v>2462</v>
      </c>
    </row>
    <row r="356" spans="2:6">
      <c r="B356" t="s">
        <v>158</v>
      </c>
      <c r="C356" t="s">
        <v>1281</v>
      </c>
      <c r="D356" t="s">
        <v>1796</v>
      </c>
      <c r="E356" t="s">
        <v>1796</v>
      </c>
      <c r="F356" t="s">
        <v>1796</v>
      </c>
    </row>
    <row r="357" spans="2:6">
      <c r="B357" t="s">
        <v>394</v>
      </c>
      <c r="C357" t="s">
        <v>1122</v>
      </c>
      <c r="D357" t="s">
        <v>1648</v>
      </c>
      <c r="E357" t="s">
        <v>1751</v>
      </c>
      <c r="F357" t="s">
        <v>1751</v>
      </c>
    </row>
    <row r="358" spans="2:6">
      <c r="B358" t="s">
        <v>98</v>
      </c>
      <c r="C358" t="s">
        <v>1049</v>
      </c>
      <c r="D358" t="s">
        <v>1574</v>
      </c>
      <c r="E358" t="s">
        <v>2086</v>
      </c>
      <c r="F358" t="s">
        <v>2574</v>
      </c>
    </row>
    <row r="359" spans="2:6">
      <c r="B359" t="s">
        <v>86</v>
      </c>
      <c r="C359" t="s">
        <v>969</v>
      </c>
      <c r="D359" t="s">
        <v>1496</v>
      </c>
      <c r="E359" t="s">
        <v>2010</v>
      </c>
      <c r="F359" t="s">
        <v>2501</v>
      </c>
    </row>
    <row r="360" spans="2:6">
      <c r="B360" t="s">
        <v>466</v>
      </c>
      <c r="C360" t="s">
        <v>1096</v>
      </c>
      <c r="D360" t="s">
        <v>1622</v>
      </c>
      <c r="E360" t="s">
        <v>2128</v>
      </c>
      <c r="F360" t="s">
        <v>2620</v>
      </c>
    </row>
    <row r="361" spans="2:6">
      <c r="B361" t="s">
        <v>90</v>
      </c>
      <c r="C361" t="s">
        <v>941</v>
      </c>
      <c r="D361" t="s">
        <v>1468</v>
      </c>
      <c r="E361" t="s">
        <v>1982</v>
      </c>
      <c r="F361" t="s">
        <v>2473</v>
      </c>
    </row>
    <row r="362" spans="2:6">
      <c r="B362" t="s">
        <v>204</v>
      </c>
      <c r="C362" t="s">
        <v>987</v>
      </c>
      <c r="D362" t="s">
        <v>1514</v>
      </c>
      <c r="E362" t="s">
        <v>2027</v>
      </c>
      <c r="F362" t="s">
        <v>2518</v>
      </c>
    </row>
    <row r="363" spans="2:6">
      <c r="B363" t="s">
        <v>414</v>
      </c>
      <c r="C363" t="s">
        <v>959</v>
      </c>
      <c r="D363" t="s">
        <v>1486</v>
      </c>
      <c r="E363" t="s">
        <v>2000</v>
      </c>
      <c r="F363" t="s">
        <v>2491</v>
      </c>
    </row>
    <row r="364" spans="2:6">
      <c r="B364" t="s">
        <v>119</v>
      </c>
      <c r="C364" t="s">
        <v>1155</v>
      </c>
      <c r="D364" t="s">
        <v>1680</v>
      </c>
      <c r="E364" t="s">
        <v>2185</v>
      </c>
      <c r="F364" t="s">
        <v>2674</v>
      </c>
    </row>
    <row r="365" spans="2:6">
      <c r="B365" t="s">
        <v>22</v>
      </c>
      <c r="C365" t="s">
        <v>866</v>
      </c>
      <c r="D365" t="s">
        <v>1395</v>
      </c>
      <c r="E365" t="s">
        <v>854</v>
      </c>
      <c r="F365" t="s">
        <v>1381</v>
      </c>
    </row>
    <row r="366" spans="2:6">
      <c r="B366" t="s">
        <v>469</v>
      </c>
      <c r="C366" t="s">
        <v>1331</v>
      </c>
      <c r="D366" t="s">
        <v>1844</v>
      </c>
      <c r="E366" t="s">
        <v>2349</v>
      </c>
      <c r="F366" t="s">
        <v>2831</v>
      </c>
    </row>
    <row r="367" spans="2:6">
      <c r="B367" t="s">
        <v>68</v>
      </c>
      <c r="C367" t="s">
        <v>1225</v>
      </c>
      <c r="D367" t="s">
        <v>1746</v>
      </c>
      <c r="E367" t="s">
        <v>2250</v>
      </c>
      <c r="F367" t="s">
        <v>2736</v>
      </c>
    </row>
    <row r="368" spans="2:6">
      <c r="B368" t="s">
        <v>329</v>
      </c>
      <c r="C368" t="s">
        <v>994</v>
      </c>
      <c r="D368" t="s">
        <v>1521</v>
      </c>
      <c r="E368" t="s">
        <v>2034</v>
      </c>
      <c r="F368" t="s">
        <v>2524</v>
      </c>
    </row>
    <row r="369" spans="2:6">
      <c r="B369" t="s">
        <v>491</v>
      </c>
      <c r="C369" t="s">
        <v>1004</v>
      </c>
      <c r="D369" t="s">
        <v>1531</v>
      </c>
      <c r="E369" t="s">
        <v>2044</v>
      </c>
      <c r="F369" t="s">
        <v>2534</v>
      </c>
    </row>
    <row r="370" spans="2:6">
      <c r="B370" t="s">
        <v>118</v>
      </c>
      <c r="C370" t="s">
        <v>983</v>
      </c>
      <c r="D370" t="s">
        <v>1510</v>
      </c>
      <c r="E370" t="s">
        <v>2023</v>
      </c>
      <c r="F370" t="s">
        <v>2514</v>
      </c>
    </row>
    <row r="371" spans="2:6">
      <c r="B371" t="s">
        <v>260</v>
      </c>
      <c r="C371" t="s">
        <v>978</v>
      </c>
      <c r="D371" t="s">
        <v>1505</v>
      </c>
      <c r="E371" t="s">
        <v>2018</v>
      </c>
      <c r="F371" t="s">
        <v>1807</v>
      </c>
    </row>
    <row r="372" spans="2:6">
      <c r="B372" t="s">
        <v>292</v>
      </c>
      <c r="C372" t="s">
        <v>1117</v>
      </c>
      <c r="D372" t="s">
        <v>1643</v>
      </c>
      <c r="E372" t="s">
        <v>2148</v>
      </c>
      <c r="F372" t="s">
        <v>2641</v>
      </c>
    </row>
    <row r="373" spans="2:6">
      <c r="B373" t="s">
        <v>61</v>
      </c>
      <c r="C373" t="s">
        <v>1187</v>
      </c>
      <c r="D373" t="s">
        <v>1712</v>
      </c>
      <c r="E373" t="s">
        <v>1217</v>
      </c>
      <c r="F373" t="s">
        <v>2703</v>
      </c>
    </row>
    <row r="374" spans="2:6">
      <c r="B374" t="s">
        <v>94</v>
      </c>
      <c r="C374" t="s">
        <v>1195</v>
      </c>
      <c r="D374" t="s">
        <v>680</v>
      </c>
      <c r="E374" t="s">
        <v>623</v>
      </c>
      <c r="F374" t="s">
        <v>2710</v>
      </c>
    </row>
    <row r="375" spans="2:6">
      <c r="B375" t="s">
        <v>417</v>
      </c>
      <c r="C375" t="s">
        <v>1021</v>
      </c>
      <c r="D375" t="s">
        <v>1547</v>
      </c>
      <c r="E375" t="s">
        <v>2060</v>
      </c>
      <c r="F375" t="s">
        <v>2550</v>
      </c>
    </row>
    <row r="376" spans="2:6">
      <c r="B376" t="s">
        <v>193</v>
      </c>
      <c r="C376" t="s">
        <v>1131</v>
      </c>
      <c r="D376" t="s">
        <v>1657</v>
      </c>
      <c r="E376" t="s">
        <v>2161</v>
      </c>
      <c r="F376" t="s">
        <v>2651</v>
      </c>
    </row>
    <row r="377" spans="2:6">
      <c r="B377" t="s">
        <v>283</v>
      </c>
      <c r="C377" t="s">
        <v>898</v>
      </c>
      <c r="D377" t="s">
        <v>1425</v>
      </c>
      <c r="E377" t="s">
        <v>1939</v>
      </c>
      <c r="F377" t="s">
        <v>2436</v>
      </c>
    </row>
    <row r="378" spans="2:6">
      <c r="B378" t="s">
        <v>424</v>
      </c>
      <c r="C378" t="s">
        <v>1107</v>
      </c>
      <c r="D378" t="s">
        <v>1633</v>
      </c>
      <c r="E378" t="s">
        <v>2139</v>
      </c>
      <c r="F378" t="s">
        <v>2631</v>
      </c>
    </row>
    <row r="379" spans="2:6">
      <c r="B379" t="s">
        <v>31</v>
      </c>
      <c r="C379" t="s">
        <v>1058</v>
      </c>
      <c r="D379" t="s">
        <v>1583</v>
      </c>
      <c r="E379" t="s">
        <v>2094</v>
      </c>
      <c r="F379" t="s">
        <v>2583</v>
      </c>
    </row>
    <row r="380" spans="2:6">
      <c r="B380" t="s">
        <v>154</v>
      </c>
      <c r="C380" t="s">
        <v>1252</v>
      </c>
      <c r="D380" t="s">
        <v>1769</v>
      </c>
      <c r="E380" t="s">
        <v>2277</v>
      </c>
      <c r="F380" t="s">
        <v>2759</v>
      </c>
    </row>
    <row r="381" spans="2:6">
      <c r="B381" t="s">
        <v>432</v>
      </c>
      <c r="C381" t="s">
        <v>1325</v>
      </c>
      <c r="D381" t="s">
        <v>1838</v>
      </c>
      <c r="E381" t="s">
        <v>2343</v>
      </c>
      <c r="F381" t="s">
        <v>2826</v>
      </c>
    </row>
    <row r="382" spans="2:6">
      <c r="B382" t="s">
        <v>404</v>
      </c>
      <c r="C382" t="s">
        <v>1328</v>
      </c>
      <c r="D382" t="s">
        <v>1841</v>
      </c>
      <c r="E382" t="s">
        <v>2346</v>
      </c>
      <c r="F382" t="s">
        <v>2828</v>
      </c>
    </row>
    <row r="383" spans="2:6">
      <c r="B383" t="s">
        <v>325</v>
      </c>
      <c r="C383" t="s">
        <v>1043</v>
      </c>
      <c r="D383" t="s">
        <v>1568</v>
      </c>
      <c r="E383" t="s">
        <v>2081</v>
      </c>
      <c r="F383" t="s">
        <v>2568</v>
      </c>
    </row>
    <row r="384" spans="2:6">
      <c r="B384" t="s">
        <v>402</v>
      </c>
      <c r="C384" t="s">
        <v>894</v>
      </c>
      <c r="D384" t="s">
        <v>1421</v>
      </c>
      <c r="E384" t="s">
        <v>1935</v>
      </c>
      <c r="F384" t="s">
        <v>2434</v>
      </c>
    </row>
    <row r="385" spans="2:6">
      <c r="B385" t="s">
        <v>401</v>
      </c>
      <c r="C385" t="s">
        <v>1102</v>
      </c>
      <c r="D385" t="s">
        <v>1628</v>
      </c>
      <c r="E385" t="s">
        <v>2134</v>
      </c>
      <c r="F385" t="s">
        <v>2626</v>
      </c>
    </row>
    <row r="386" spans="2:6">
      <c r="B386" t="s">
        <v>336</v>
      </c>
      <c r="C386" t="s">
        <v>975</v>
      </c>
      <c r="D386" t="s">
        <v>1502</v>
      </c>
      <c r="E386" t="s">
        <v>2015</v>
      </c>
      <c r="F386" t="s">
        <v>2507</v>
      </c>
    </row>
    <row r="387" spans="2:6">
      <c r="B387" t="s">
        <v>358</v>
      </c>
      <c r="C387" t="s">
        <v>968</v>
      </c>
      <c r="D387" t="s">
        <v>1495</v>
      </c>
      <c r="E387" t="s">
        <v>2009</v>
      </c>
      <c r="F387" t="s">
        <v>2500</v>
      </c>
    </row>
    <row r="388" spans="2:6">
      <c r="B388" t="s">
        <v>65</v>
      </c>
      <c r="C388" t="s">
        <v>1188</v>
      </c>
      <c r="D388" t="s">
        <v>1713</v>
      </c>
      <c r="E388" t="s">
        <v>2216</v>
      </c>
      <c r="F388" t="s">
        <v>2704</v>
      </c>
    </row>
    <row r="389" spans="2:6">
      <c r="B389" t="s">
        <v>58</v>
      </c>
      <c r="C389" t="s">
        <v>873</v>
      </c>
      <c r="D389" t="s">
        <v>1401</v>
      </c>
      <c r="E389" t="s">
        <v>1914</v>
      </c>
      <c r="F389" t="s">
        <v>2415</v>
      </c>
    </row>
    <row r="390" spans="2:6">
      <c r="B390" t="s">
        <v>7</v>
      </c>
      <c r="C390" t="s">
        <v>874</v>
      </c>
      <c r="D390" t="s">
        <v>1402</v>
      </c>
      <c r="E390" t="s">
        <v>1915</v>
      </c>
      <c r="F390" t="s">
        <v>2416</v>
      </c>
    </row>
    <row r="391" spans="2:6">
      <c r="B391" t="s">
        <v>489</v>
      </c>
      <c r="C391" t="s">
        <v>992</v>
      </c>
      <c r="D391" t="s">
        <v>1519</v>
      </c>
      <c r="E391" t="s">
        <v>2032</v>
      </c>
      <c r="F391" t="s">
        <v>2523</v>
      </c>
    </row>
    <row r="392" spans="2:6">
      <c r="B392" t="s">
        <v>14</v>
      </c>
      <c r="C392" t="s">
        <v>1340</v>
      </c>
      <c r="D392" t="s">
        <v>1853</v>
      </c>
      <c r="E392" t="s">
        <v>2358</v>
      </c>
      <c r="F392" t="s">
        <v>2838</v>
      </c>
    </row>
    <row r="393" spans="2:6">
      <c r="B393" t="s">
        <v>270</v>
      </c>
      <c r="C393" t="s">
        <v>1072</v>
      </c>
      <c r="D393" t="s">
        <v>1597</v>
      </c>
      <c r="E393" t="s">
        <v>1616</v>
      </c>
      <c r="F393" t="s">
        <v>2596</v>
      </c>
    </row>
    <row r="394" spans="2:6">
      <c r="B394" t="s">
        <v>364</v>
      </c>
      <c r="C394" t="s">
        <v>1133</v>
      </c>
      <c r="D394" t="s">
        <v>1659</v>
      </c>
      <c r="E394" t="s">
        <v>2163</v>
      </c>
      <c r="F394" t="s">
        <v>2653</v>
      </c>
    </row>
    <row r="395" spans="2:6">
      <c r="B395" t="s">
        <v>438</v>
      </c>
      <c r="C395" t="s">
        <v>1098</v>
      </c>
      <c r="D395" t="s">
        <v>1624</v>
      </c>
      <c r="E395" t="s">
        <v>2130</v>
      </c>
      <c r="F395" t="s">
        <v>2622</v>
      </c>
    </row>
    <row r="396" spans="2:6">
      <c r="B396" t="s">
        <v>208</v>
      </c>
      <c r="C396" t="s">
        <v>1129</v>
      </c>
      <c r="D396" t="s">
        <v>1655</v>
      </c>
      <c r="E396" t="s">
        <v>2159</v>
      </c>
      <c r="F396" t="s">
        <v>2649</v>
      </c>
    </row>
    <row r="397" spans="2:6">
      <c r="B397" t="s">
        <v>494</v>
      </c>
      <c r="C397" t="s">
        <v>1270</v>
      </c>
      <c r="D397" t="s">
        <v>1786</v>
      </c>
      <c r="E397" t="s">
        <v>2293</v>
      </c>
      <c r="F397" t="s">
        <v>2776</v>
      </c>
    </row>
    <row r="398" spans="2:6">
      <c r="B398" t="s">
        <v>281</v>
      </c>
      <c r="C398" t="s">
        <v>1084</v>
      </c>
      <c r="D398" t="s">
        <v>1610</v>
      </c>
      <c r="E398" t="s">
        <v>2116</v>
      </c>
      <c r="F398" t="s">
        <v>2608</v>
      </c>
    </row>
    <row r="399" spans="2:6">
      <c r="B399" t="s">
        <v>230</v>
      </c>
      <c r="C399" t="s">
        <v>984</v>
      </c>
      <c r="D399" t="s">
        <v>1511</v>
      </c>
      <c r="E399" t="s">
        <v>2024</v>
      </c>
      <c r="F399" t="s">
        <v>2515</v>
      </c>
    </row>
    <row r="400" spans="2:6">
      <c r="B400" t="s">
        <v>268</v>
      </c>
      <c r="C400" t="s">
        <v>1226</v>
      </c>
      <c r="D400" t="s">
        <v>1747</v>
      </c>
      <c r="E400" t="s">
        <v>2251</v>
      </c>
      <c r="F400" t="s">
        <v>2737</v>
      </c>
    </row>
    <row r="401" spans="2:6">
      <c r="B401" t="s">
        <v>192</v>
      </c>
      <c r="C401" t="s">
        <v>1036</v>
      </c>
      <c r="D401" t="s">
        <v>1562</v>
      </c>
      <c r="E401" t="s">
        <v>2074</v>
      </c>
      <c r="F401" t="s">
        <v>2564</v>
      </c>
    </row>
    <row r="402" spans="2:6">
      <c r="B402" t="s">
        <v>100</v>
      </c>
      <c r="C402" t="s">
        <v>1353</v>
      </c>
      <c r="D402" t="s">
        <v>1866</v>
      </c>
      <c r="E402" t="s">
        <v>2370</v>
      </c>
      <c r="F402" t="s">
        <v>2851</v>
      </c>
    </row>
    <row r="403" spans="2:6">
      <c r="B403" t="s">
        <v>376</v>
      </c>
      <c r="C403" t="s">
        <v>1091</v>
      </c>
      <c r="D403" t="s">
        <v>1617</v>
      </c>
      <c r="E403" t="s">
        <v>2123</v>
      </c>
      <c r="F403" t="s">
        <v>2615</v>
      </c>
    </row>
    <row r="404" spans="2:6">
      <c r="B404" t="s">
        <v>308</v>
      </c>
      <c r="C404" t="s">
        <v>1299</v>
      </c>
      <c r="D404" t="s">
        <v>1813</v>
      </c>
      <c r="E404" t="s">
        <v>2321</v>
      </c>
      <c r="F404" t="s">
        <v>2802</v>
      </c>
    </row>
    <row r="405" spans="2:6">
      <c r="B405" t="s">
        <v>26</v>
      </c>
      <c r="C405" t="s">
        <v>887</v>
      </c>
      <c r="D405" t="s">
        <v>1414</v>
      </c>
      <c r="E405" t="s">
        <v>1928</v>
      </c>
      <c r="F405" t="s">
        <v>2427</v>
      </c>
    </row>
    <row r="406" spans="2:6">
      <c r="B406" t="s">
        <v>433</v>
      </c>
      <c r="C406" t="s">
        <v>923</v>
      </c>
      <c r="D406" t="s">
        <v>1450</v>
      </c>
      <c r="E406" t="s">
        <v>1964</v>
      </c>
      <c r="F406" t="s">
        <v>2457</v>
      </c>
    </row>
    <row r="407" spans="2:6">
      <c r="B407" t="s">
        <v>437</v>
      </c>
      <c r="C407" t="s">
        <v>1119</v>
      </c>
      <c r="D407" t="s">
        <v>1645</v>
      </c>
      <c r="E407" t="s">
        <v>2150</v>
      </c>
      <c r="F407" t="s">
        <v>2642</v>
      </c>
    </row>
    <row r="408" spans="2:6">
      <c r="B408" t="s">
        <v>221</v>
      </c>
      <c r="C408" t="s">
        <v>1113</v>
      </c>
      <c r="D408" t="s">
        <v>1639</v>
      </c>
      <c r="E408" t="s">
        <v>1122</v>
      </c>
      <c r="F408" t="s">
        <v>2637</v>
      </c>
    </row>
    <row r="409" spans="2:6">
      <c r="B409" t="s">
        <v>46</v>
      </c>
      <c r="C409" t="s">
        <v>884</v>
      </c>
      <c r="D409" t="s">
        <v>1411</v>
      </c>
      <c r="E409" t="s">
        <v>1925</v>
      </c>
      <c r="F409" t="s">
        <v>2425</v>
      </c>
    </row>
    <row r="410" spans="2:6">
      <c r="B410" t="s">
        <v>823</v>
      </c>
      <c r="C410" t="s">
        <v>1069</v>
      </c>
      <c r="D410" t="s">
        <v>1594</v>
      </c>
      <c r="E410" t="s">
        <v>1471</v>
      </c>
      <c r="F410" t="s">
        <v>2593</v>
      </c>
    </row>
    <row r="411" spans="2:6">
      <c r="B411" t="s">
        <v>216</v>
      </c>
      <c r="C411" t="s">
        <v>1303</v>
      </c>
      <c r="D411" t="s">
        <v>1817</v>
      </c>
      <c r="E411" t="s">
        <v>2325</v>
      </c>
      <c r="F411" t="s">
        <v>2806</v>
      </c>
    </row>
    <row r="412" spans="2:6">
      <c r="B412" t="s">
        <v>431</v>
      </c>
      <c r="C412" t="s">
        <v>1257</v>
      </c>
      <c r="D412" t="s">
        <v>1774</v>
      </c>
      <c r="E412" t="s">
        <v>2282</v>
      </c>
      <c r="F412" t="s">
        <v>2764</v>
      </c>
    </row>
    <row r="413" spans="2:6">
      <c r="B413" t="s">
        <v>209</v>
      </c>
      <c r="C413" t="s">
        <v>1189</v>
      </c>
      <c r="D413" t="s">
        <v>1714</v>
      </c>
      <c r="E413" t="s">
        <v>2217</v>
      </c>
      <c r="F413" t="s">
        <v>2705</v>
      </c>
    </row>
    <row r="414" spans="2:6">
      <c r="B414" t="s">
        <v>248</v>
      </c>
      <c r="C414" t="s">
        <v>1075</v>
      </c>
      <c r="D414" t="s">
        <v>1601</v>
      </c>
      <c r="E414" t="s">
        <v>2109</v>
      </c>
      <c r="F414" t="s">
        <v>2600</v>
      </c>
    </row>
    <row r="415" spans="2:6">
      <c r="B415" t="s">
        <v>256</v>
      </c>
      <c r="C415" t="s">
        <v>1196</v>
      </c>
      <c r="D415" t="s">
        <v>1718</v>
      </c>
      <c r="E415" t="s">
        <v>2223</v>
      </c>
      <c r="F415" t="s">
        <v>2223</v>
      </c>
    </row>
    <row r="416" spans="2:6">
      <c r="B416" t="s">
        <v>403</v>
      </c>
      <c r="C416" t="s">
        <v>1333</v>
      </c>
      <c r="D416" t="s">
        <v>1846</v>
      </c>
      <c r="E416" t="s">
        <v>2351</v>
      </c>
      <c r="F416" t="s">
        <v>2351</v>
      </c>
    </row>
    <row r="417" spans="2:6">
      <c r="B417" t="s">
        <v>152</v>
      </c>
      <c r="C417" t="s">
        <v>1126</v>
      </c>
      <c r="D417" t="s">
        <v>1652</v>
      </c>
      <c r="E417" t="s">
        <v>2156</v>
      </c>
      <c r="F417" t="s">
        <v>2647</v>
      </c>
    </row>
    <row r="418" spans="2:6">
      <c r="B418" t="s">
        <v>280</v>
      </c>
      <c r="C418" t="s">
        <v>943</v>
      </c>
      <c r="D418" t="s">
        <v>1470</v>
      </c>
      <c r="E418" t="s">
        <v>1984</v>
      </c>
      <c r="F418" t="s">
        <v>2475</v>
      </c>
    </row>
    <row r="419" spans="2:6">
      <c r="B419" t="s">
        <v>348</v>
      </c>
      <c r="C419" t="s">
        <v>1061</v>
      </c>
      <c r="D419" t="s">
        <v>1586</v>
      </c>
      <c r="E419" t="s">
        <v>2097</v>
      </c>
      <c r="F419" t="s">
        <v>2586</v>
      </c>
    </row>
    <row r="420" spans="2:6">
      <c r="B420" t="s">
        <v>435</v>
      </c>
      <c r="C420" t="s">
        <v>1146</v>
      </c>
      <c r="D420" t="s">
        <v>1671</v>
      </c>
      <c r="E420" t="s">
        <v>2176</v>
      </c>
      <c r="F420" t="s">
        <v>2665</v>
      </c>
    </row>
    <row r="421" spans="2:6">
      <c r="B421" t="s">
        <v>97</v>
      </c>
      <c r="C421" t="s">
        <v>858</v>
      </c>
      <c r="D421" t="s">
        <v>1390</v>
      </c>
      <c r="E421" t="s">
        <v>1903</v>
      </c>
      <c r="F421" t="s">
        <v>2404</v>
      </c>
    </row>
    <row r="422" spans="2:6">
      <c r="B422" t="s">
        <v>108</v>
      </c>
      <c r="C422" t="s">
        <v>1179</v>
      </c>
      <c r="D422" t="s">
        <v>1704</v>
      </c>
      <c r="E422" t="s">
        <v>2208</v>
      </c>
      <c r="F422" t="s">
        <v>2696</v>
      </c>
    </row>
    <row r="423" spans="2:6">
      <c r="B423" t="s">
        <v>224</v>
      </c>
      <c r="C423" t="s">
        <v>954</v>
      </c>
      <c r="D423" t="s">
        <v>1481</v>
      </c>
      <c r="E423" t="s">
        <v>1995</v>
      </c>
      <c r="F423" t="s">
        <v>2486</v>
      </c>
    </row>
    <row r="424" spans="2:6">
      <c r="B424" t="s">
        <v>126</v>
      </c>
      <c r="C424" t="s">
        <v>1171</v>
      </c>
      <c r="D424" t="s">
        <v>1696</v>
      </c>
      <c r="E424" t="s">
        <v>2201</v>
      </c>
      <c r="F424" t="s">
        <v>2688</v>
      </c>
    </row>
    <row r="425" spans="2:6">
      <c r="B425" t="s">
        <v>93</v>
      </c>
      <c r="C425" t="s">
        <v>1236</v>
      </c>
      <c r="D425" t="s">
        <v>1755</v>
      </c>
      <c r="E425" t="s">
        <v>2261</v>
      </c>
      <c r="F425" t="s">
        <v>2745</v>
      </c>
    </row>
    <row r="426" spans="2:6">
      <c r="B426" t="s">
        <v>128</v>
      </c>
      <c r="C426" t="s">
        <v>981</v>
      </c>
      <c r="D426" t="s">
        <v>1508</v>
      </c>
      <c r="E426" t="s">
        <v>2021</v>
      </c>
      <c r="F426" t="s">
        <v>2512</v>
      </c>
    </row>
    <row r="427" spans="2:6">
      <c r="B427" t="s">
        <v>99</v>
      </c>
      <c r="C427" t="s">
        <v>851</v>
      </c>
      <c r="D427" t="s">
        <v>1383</v>
      </c>
      <c r="E427" t="s">
        <v>1896</v>
      </c>
      <c r="F427" t="s">
        <v>2398</v>
      </c>
    </row>
    <row r="428" spans="2:6">
      <c r="B428" t="s">
        <v>180</v>
      </c>
      <c r="C428" t="s">
        <v>1089</v>
      </c>
      <c r="D428" t="s">
        <v>1615</v>
      </c>
      <c r="E428" t="s">
        <v>2121</v>
      </c>
      <c r="F428" t="s">
        <v>2613</v>
      </c>
    </row>
    <row r="429" spans="2:6">
      <c r="B429" t="s">
        <v>445</v>
      </c>
      <c r="C429" t="s">
        <v>1321</v>
      </c>
      <c r="D429" t="s">
        <v>1834</v>
      </c>
      <c r="E429" t="s">
        <v>2339</v>
      </c>
      <c r="F429" t="s">
        <v>2822</v>
      </c>
    </row>
    <row r="430" spans="2:6">
      <c r="B430" t="s">
        <v>125</v>
      </c>
      <c r="C430" t="s">
        <v>1301</v>
      </c>
      <c r="D430" t="s">
        <v>1815</v>
      </c>
      <c r="E430" t="s">
        <v>2323</v>
      </c>
      <c r="F430" t="s">
        <v>2804</v>
      </c>
    </row>
    <row r="431" spans="2:6">
      <c r="B431" t="s">
        <v>171</v>
      </c>
      <c r="C431" t="s">
        <v>935</v>
      </c>
      <c r="D431" t="s">
        <v>1462</v>
      </c>
      <c r="E431" t="s">
        <v>1976</v>
      </c>
      <c r="F431" t="s">
        <v>2468</v>
      </c>
    </row>
    <row r="432" spans="2:6">
      <c r="B432" t="s">
        <v>174</v>
      </c>
      <c r="C432" t="s">
        <v>997</v>
      </c>
      <c r="D432" t="s">
        <v>1524</v>
      </c>
      <c r="E432" t="s">
        <v>2037</v>
      </c>
      <c r="F432" t="s">
        <v>2527</v>
      </c>
    </row>
    <row r="433" spans="2:6">
      <c r="B433" t="s">
        <v>350</v>
      </c>
      <c r="C433" t="s">
        <v>927</v>
      </c>
      <c r="D433" t="s">
        <v>1454</v>
      </c>
      <c r="E433" t="s">
        <v>1968</v>
      </c>
      <c r="F433" t="s">
        <v>2460</v>
      </c>
    </row>
    <row r="434" spans="2:6">
      <c r="B434" t="s">
        <v>72</v>
      </c>
      <c r="C434" t="s">
        <v>1194</v>
      </c>
      <c r="D434" t="s">
        <v>1717</v>
      </c>
      <c r="E434" t="s">
        <v>2222</v>
      </c>
      <c r="F434" t="s">
        <v>2709</v>
      </c>
    </row>
    <row r="435" spans="2:6">
      <c r="B435" t="s">
        <v>366</v>
      </c>
      <c r="C435" t="s">
        <v>1248</v>
      </c>
      <c r="D435" t="s">
        <v>1766</v>
      </c>
      <c r="E435" t="s">
        <v>1301</v>
      </c>
      <c r="F435" t="s">
        <v>2756</v>
      </c>
    </row>
    <row r="436" spans="2:6">
      <c r="B436" t="s">
        <v>375</v>
      </c>
      <c r="C436" t="s">
        <v>1242</v>
      </c>
      <c r="D436" t="s">
        <v>1760</v>
      </c>
      <c r="E436" t="s">
        <v>2267</v>
      </c>
      <c r="F436" t="s">
        <v>2749</v>
      </c>
    </row>
    <row r="437" spans="2:6">
      <c r="B437" t="s">
        <v>385</v>
      </c>
      <c r="C437" t="s">
        <v>1106</v>
      </c>
      <c r="D437" t="s">
        <v>1632</v>
      </c>
      <c r="E437" t="s">
        <v>2138</v>
      </c>
      <c r="F437" t="s">
        <v>2630</v>
      </c>
    </row>
    <row r="438" spans="2:6">
      <c r="B438" t="s">
        <v>28</v>
      </c>
      <c r="C438" t="s">
        <v>891</v>
      </c>
      <c r="D438" t="s">
        <v>1418</v>
      </c>
      <c r="E438" t="s">
        <v>1932</v>
      </c>
      <c r="F438" t="s">
        <v>2431</v>
      </c>
    </row>
    <row r="439" spans="2:6">
      <c r="B439" t="s">
        <v>446</v>
      </c>
      <c r="C439" t="s">
        <v>1317</v>
      </c>
      <c r="D439" t="s">
        <v>1830</v>
      </c>
      <c r="E439" t="s">
        <v>2336</v>
      </c>
      <c r="F439" t="s">
        <v>2820</v>
      </c>
    </row>
    <row r="440" spans="2:6">
      <c r="B440" t="s">
        <v>228</v>
      </c>
      <c r="C440" t="s">
        <v>1308</v>
      </c>
      <c r="D440" t="s">
        <v>1821</v>
      </c>
      <c r="E440" t="s">
        <v>2329</v>
      </c>
      <c r="F440" t="s">
        <v>2811</v>
      </c>
    </row>
    <row r="441" spans="2:6">
      <c r="B441" t="s">
        <v>312</v>
      </c>
      <c r="C441" t="s">
        <v>1304</v>
      </c>
      <c r="D441" t="s">
        <v>1818</v>
      </c>
      <c r="E441" t="s">
        <v>1408</v>
      </c>
      <c r="F441" t="s">
        <v>2807</v>
      </c>
    </row>
    <row r="442" spans="2:6">
      <c r="B442" t="s">
        <v>416</v>
      </c>
      <c r="C442" t="s">
        <v>1138</v>
      </c>
      <c r="D442" t="s">
        <v>1663</v>
      </c>
      <c r="E442" t="s">
        <v>2168</v>
      </c>
      <c r="F442" t="s">
        <v>2658</v>
      </c>
    </row>
    <row r="443" spans="2:6">
      <c r="B443" t="s">
        <v>139</v>
      </c>
      <c r="C443" t="s">
        <v>895</v>
      </c>
      <c r="D443" t="s">
        <v>1422</v>
      </c>
      <c r="E443" t="s">
        <v>1936</v>
      </c>
      <c r="F443" t="s">
        <v>2435</v>
      </c>
    </row>
    <row r="444" spans="2:6">
      <c r="B444" t="s">
        <v>55</v>
      </c>
      <c r="C444" t="s">
        <v>1009</v>
      </c>
      <c r="D444" t="s">
        <v>1536</v>
      </c>
      <c r="E444" t="s">
        <v>2048</v>
      </c>
      <c r="F444" t="s">
        <v>2538</v>
      </c>
    </row>
    <row r="445" spans="2:6">
      <c r="B445" t="s">
        <v>69</v>
      </c>
      <c r="C445" t="s">
        <v>846</v>
      </c>
      <c r="D445" t="s">
        <v>1378</v>
      </c>
      <c r="E445" t="s">
        <v>1891</v>
      </c>
      <c r="F445" t="s">
        <v>2393</v>
      </c>
    </row>
    <row r="446" spans="2:6">
      <c r="B446" t="s">
        <v>337</v>
      </c>
      <c r="C446" t="s">
        <v>1288</v>
      </c>
      <c r="D446" t="s">
        <v>1802</v>
      </c>
      <c r="E446" t="s">
        <v>2310</v>
      </c>
      <c r="F446" t="s">
        <v>2792</v>
      </c>
    </row>
    <row r="447" spans="2:6">
      <c r="B447" t="s">
        <v>11</v>
      </c>
      <c r="C447" t="s">
        <v>1355</v>
      </c>
      <c r="D447" t="s">
        <v>1868</v>
      </c>
      <c r="E447" t="s">
        <v>2372</v>
      </c>
      <c r="F447" t="s">
        <v>2853</v>
      </c>
    </row>
    <row r="448" spans="2:6">
      <c r="B448" t="s">
        <v>263</v>
      </c>
      <c r="C448" t="s">
        <v>1078</v>
      </c>
      <c r="D448" t="s">
        <v>1604</v>
      </c>
      <c r="E448" t="s">
        <v>1036</v>
      </c>
      <c r="F448" t="s">
        <v>2602</v>
      </c>
    </row>
    <row r="449" spans="2:6">
      <c r="B449" t="s">
        <v>373</v>
      </c>
      <c r="C449" t="s">
        <v>1088</v>
      </c>
      <c r="D449" t="s">
        <v>1614</v>
      </c>
      <c r="E449" t="s">
        <v>2120</v>
      </c>
      <c r="F449" t="s">
        <v>2612</v>
      </c>
    </row>
    <row r="450" spans="2:6">
      <c r="B450" t="s">
        <v>425</v>
      </c>
      <c r="C450" t="s">
        <v>966</v>
      </c>
      <c r="D450" t="s">
        <v>1493</v>
      </c>
      <c r="E450" t="s">
        <v>2007</v>
      </c>
      <c r="F450" t="s">
        <v>2498</v>
      </c>
    </row>
    <row r="451" spans="2:6">
      <c r="B451" t="s">
        <v>92</v>
      </c>
      <c r="C451" t="s">
        <v>1064</v>
      </c>
      <c r="D451" t="s">
        <v>1589</v>
      </c>
      <c r="E451" t="s">
        <v>2099</v>
      </c>
      <c r="F451" t="s">
        <v>2589</v>
      </c>
    </row>
    <row r="452" spans="2:6">
      <c r="B452" t="s">
        <v>150</v>
      </c>
      <c r="C452" t="s">
        <v>951</v>
      </c>
      <c r="D452" t="s">
        <v>1478</v>
      </c>
      <c r="E452" t="s">
        <v>1992</v>
      </c>
      <c r="F452" t="s">
        <v>2483</v>
      </c>
    </row>
    <row r="453" spans="2:6">
      <c r="B453" t="s">
        <v>306</v>
      </c>
      <c r="C453" t="s">
        <v>1363</v>
      </c>
      <c r="D453" t="s">
        <v>1876</v>
      </c>
      <c r="E453" t="s">
        <v>2379</v>
      </c>
      <c r="F453" t="s">
        <v>2861</v>
      </c>
    </row>
    <row r="454" spans="2:6">
      <c r="B454" t="s">
        <v>470</v>
      </c>
      <c r="C454" t="s">
        <v>1230</v>
      </c>
      <c r="D454" t="s">
        <v>1143</v>
      </c>
      <c r="E454" t="s">
        <v>2255</v>
      </c>
      <c r="F454" t="s">
        <v>2740</v>
      </c>
    </row>
    <row r="455" spans="2:6">
      <c r="B455" t="s">
        <v>333</v>
      </c>
      <c r="C455" t="s">
        <v>1144</v>
      </c>
      <c r="D455" t="s">
        <v>1669</v>
      </c>
      <c r="E455" t="s">
        <v>2174</v>
      </c>
      <c r="F455" t="s">
        <v>2174</v>
      </c>
    </row>
    <row r="456" spans="2:6">
      <c r="B456" t="s">
        <v>837</v>
      </c>
      <c r="C456" t="s">
        <v>1364</v>
      </c>
      <c r="D456" t="s">
        <v>1877</v>
      </c>
      <c r="E456" t="s">
        <v>2380</v>
      </c>
      <c r="F456" t="s">
        <v>2862</v>
      </c>
    </row>
    <row r="457" spans="2:6">
      <c r="B457" t="s">
        <v>21</v>
      </c>
      <c r="C457" t="s">
        <v>950</v>
      </c>
      <c r="D457" t="s">
        <v>1477</v>
      </c>
      <c r="E457" t="s">
        <v>1991</v>
      </c>
      <c r="F457" t="s">
        <v>2482</v>
      </c>
    </row>
    <row r="458" spans="2:6">
      <c r="B458" t="s">
        <v>54</v>
      </c>
      <c r="C458" t="s">
        <v>698</v>
      </c>
      <c r="D458" t="s">
        <v>1708</v>
      </c>
      <c r="E458" t="s">
        <v>2212</v>
      </c>
      <c r="F458" t="s">
        <v>2700</v>
      </c>
    </row>
    <row r="459" spans="2:6">
      <c r="B459" t="s">
        <v>186</v>
      </c>
      <c r="C459" t="s">
        <v>875</v>
      </c>
      <c r="D459" t="s">
        <v>1403</v>
      </c>
      <c r="E459" t="s">
        <v>1916</v>
      </c>
      <c r="F459" t="s">
        <v>2417</v>
      </c>
    </row>
    <row r="460" spans="2:6">
      <c r="B460" t="s">
        <v>390</v>
      </c>
      <c r="C460" t="s">
        <v>908</v>
      </c>
      <c r="D460" t="s">
        <v>1435</v>
      </c>
      <c r="E460" t="s">
        <v>1949</v>
      </c>
      <c r="F460" t="s">
        <v>873</v>
      </c>
    </row>
    <row r="461" spans="2:6">
      <c r="B461" t="s">
        <v>330</v>
      </c>
      <c r="C461" t="s">
        <v>991</v>
      </c>
      <c r="D461" t="s">
        <v>1518</v>
      </c>
      <c r="E461" t="s">
        <v>2031</v>
      </c>
      <c r="F461" t="s">
        <v>2522</v>
      </c>
    </row>
    <row r="462" spans="2:6">
      <c r="B462" t="s">
        <v>246</v>
      </c>
      <c r="C462" t="s">
        <v>1291</v>
      </c>
      <c r="D462" t="s">
        <v>1805</v>
      </c>
      <c r="E462" t="s">
        <v>2313</v>
      </c>
      <c r="F462" t="s">
        <v>2794</v>
      </c>
    </row>
    <row r="463" spans="2:6">
      <c r="B463" t="s">
        <v>0</v>
      </c>
      <c r="C463" t="s">
        <v>1200</v>
      </c>
      <c r="D463" t="s">
        <v>1723</v>
      </c>
      <c r="E463" t="s">
        <v>2227</v>
      </c>
      <c r="F463" t="s">
        <v>2714</v>
      </c>
    </row>
    <row r="464" spans="2:6">
      <c r="B464" t="s">
        <v>354</v>
      </c>
      <c r="C464" t="s">
        <v>1286</v>
      </c>
      <c r="D464" t="s">
        <v>1800</v>
      </c>
      <c r="E464" t="s">
        <v>2308</v>
      </c>
      <c r="F464" t="s">
        <v>2790</v>
      </c>
    </row>
    <row r="465" spans="2:6">
      <c r="B465" t="s">
        <v>834</v>
      </c>
      <c r="C465" t="s">
        <v>1289</v>
      </c>
      <c r="D465" t="s">
        <v>1803</v>
      </c>
      <c r="E465" t="s">
        <v>2311</v>
      </c>
      <c r="F465" t="s">
        <v>2793</v>
      </c>
    </row>
    <row r="466" spans="2:6">
      <c r="B466" t="s">
        <v>503</v>
      </c>
      <c r="C466" t="s">
        <v>1320</v>
      </c>
      <c r="D466" t="s">
        <v>1833</v>
      </c>
      <c r="E466" t="s">
        <v>2338</v>
      </c>
      <c r="F466" t="s">
        <v>2821</v>
      </c>
    </row>
    <row r="467" spans="2:6">
      <c r="B467" t="s">
        <v>243</v>
      </c>
      <c r="C467" t="s">
        <v>1254</v>
      </c>
      <c r="D467" t="s">
        <v>1771</v>
      </c>
      <c r="E467" t="s">
        <v>2279</v>
      </c>
      <c r="F467" t="s">
        <v>2761</v>
      </c>
    </row>
    <row r="468" spans="2:6">
      <c r="B468" t="s">
        <v>146</v>
      </c>
      <c r="C468" t="s">
        <v>1203</v>
      </c>
      <c r="D468" t="s">
        <v>1726</v>
      </c>
      <c r="E468" t="s">
        <v>2231</v>
      </c>
      <c r="F468" t="s">
        <v>2718</v>
      </c>
    </row>
    <row r="469" spans="2:6">
      <c r="B469" t="s">
        <v>168</v>
      </c>
      <c r="C469" t="s">
        <v>862</v>
      </c>
      <c r="D469" t="s">
        <v>1392</v>
      </c>
      <c r="E469" t="s">
        <v>1906</v>
      </c>
      <c r="F469" t="s">
        <v>2408</v>
      </c>
    </row>
    <row r="470" spans="2:6">
      <c r="B470" t="s">
        <v>257</v>
      </c>
      <c r="C470" t="s">
        <v>1207</v>
      </c>
      <c r="D470" t="s">
        <v>1729</v>
      </c>
      <c r="E470" t="s">
        <v>2234</v>
      </c>
      <c r="F470" t="s">
        <v>2720</v>
      </c>
    </row>
    <row r="471" spans="2:6">
      <c r="B471" t="s">
        <v>405</v>
      </c>
      <c r="C471" t="s">
        <v>1185</v>
      </c>
      <c r="D471" t="s">
        <v>1710</v>
      </c>
      <c r="E471" t="s">
        <v>2214</v>
      </c>
      <c r="F471" t="s">
        <v>2214</v>
      </c>
    </row>
    <row r="472" spans="2:6">
      <c r="B472" t="s">
        <v>101</v>
      </c>
      <c r="C472" t="s">
        <v>1052</v>
      </c>
      <c r="D472" t="s">
        <v>1577</v>
      </c>
      <c r="E472" t="s">
        <v>2089</v>
      </c>
      <c r="F472" t="s">
        <v>2577</v>
      </c>
    </row>
    <row r="473" spans="2:6">
      <c r="B473" t="s">
        <v>258</v>
      </c>
      <c r="C473" t="s">
        <v>1032</v>
      </c>
      <c r="D473" t="s">
        <v>1558</v>
      </c>
      <c r="E473" t="s">
        <v>2071</v>
      </c>
      <c r="F473" t="s">
        <v>2560</v>
      </c>
    </row>
    <row r="474" spans="2:6">
      <c r="B474" t="s">
        <v>199</v>
      </c>
      <c r="C474" t="s">
        <v>944</v>
      </c>
      <c r="D474" t="s">
        <v>1471</v>
      </c>
      <c r="E474" t="s">
        <v>1985</v>
      </c>
      <c r="F474" t="s">
        <v>2476</v>
      </c>
    </row>
    <row r="475" spans="2:6">
      <c r="B475" t="s">
        <v>361</v>
      </c>
      <c r="C475" t="s">
        <v>1047</v>
      </c>
      <c r="D475" t="s">
        <v>1572</v>
      </c>
      <c r="E475" t="s">
        <v>2084</v>
      </c>
      <c r="F475" t="s">
        <v>2572</v>
      </c>
    </row>
    <row r="476" spans="2:6">
      <c r="B476" t="s">
        <v>133</v>
      </c>
      <c r="C476" t="s">
        <v>999</v>
      </c>
      <c r="D476" t="s">
        <v>1526</v>
      </c>
      <c r="E476" t="s">
        <v>2039</v>
      </c>
      <c r="F476" t="s">
        <v>2529</v>
      </c>
    </row>
    <row r="477" spans="2:6">
      <c r="B477" t="s">
        <v>250</v>
      </c>
      <c r="C477" t="s">
        <v>900</v>
      </c>
      <c r="D477" t="s">
        <v>1427</v>
      </c>
      <c r="E477" t="s">
        <v>1941</v>
      </c>
      <c r="F477" t="s">
        <v>2437</v>
      </c>
    </row>
    <row r="478" spans="2:6">
      <c r="B478" t="s">
        <v>806</v>
      </c>
      <c r="C478" t="s">
        <v>865</v>
      </c>
      <c r="D478" t="s">
        <v>865</v>
      </c>
      <c r="E478" t="s">
        <v>1908</v>
      </c>
      <c r="F478" t="s">
        <v>2410</v>
      </c>
    </row>
    <row r="479" spans="2:6">
      <c r="B479" t="s">
        <v>369</v>
      </c>
      <c r="C479" t="s">
        <v>1158</v>
      </c>
      <c r="D479" t="s">
        <v>1683</v>
      </c>
      <c r="E479" t="s">
        <v>2188</v>
      </c>
      <c r="F479" t="s">
        <v>1777</v>
      </c>
    </row>
    <row r="480" spans="2:6">
      <c r="B480" t="s">
        <v>498</v>
      </c>
      <c r="C480" t="s">
        <v>982</v>
      </c>
      <c r="D480" t="s">
        <v>1509</v>
      </c>
      <c r="E480" t="s">
        <v>2022</v>
      </c>
      <c r="F480" t="s">
        <v>2513</v>
      </c>
    </row>
    <row r="481" spans="2:6">
      <c r="B481" t="s">
        <v>40</v>
      </c>
      <c r="C481" t="s">
        <v>1347</v>
      </c>
      <c r="D481" t="s">
        <v>1860</v>
      </c>
      <c r="E481" t="s">
        <v>2365</v>
      </c>
      <c r="F481" t="s">
        <v>2845</v>
      </c>
    </row>
    <row r="482" spans="2:6">
      <c r="B482" t="s">
        <v>226</v>
      </c>
      <c r="C482" t="s">
        <v>932</v>
      </c>
      <c r="D482" t="s">
        <v>1459</v>
      </c>
      <c r="E482" t="s">
        <v>1973</v>
      </c>
      <c r="F482" t="s">
        <v>2465</v>
      </c>
    </row>
    <row r="483" spans="2:6">
      <c r="B483" t="s">
        <v>172</v>
      </c>
      <c r="C483" t="s">
        <v>1311</v>
      </c>
      <c r="D483" t="s">
        <v>1824</v>
      </c>
      <c r="E483" t="s">
        <v>2331</v>
      </c>
      <c r="F483" t="s">
        <v>2814</v>
      </c>
    </row>
    <row r="484" spans="2:6">
      <c r="B484" t="s">
        <v>833</v>
      </c>
      <c r="C484" t="s">
        <v>1278</v>
      </c>
      <c r="D484" t="s">
        <v>1793</v>
      </c>
      <c r="E484" t="s">
        <v>2301</v>
      </c>
      <c r="F484" t="s">
        <v>2783</v>
      </c>
    </row>
    <row r="485" spans="2:6">
      <c r="B485" t="s">
        <v>294</v>
      </c>
      <c r="C485" t="s">
        <v>1175</v>
      </c>
      <c r="D485" t="s">
        <v>1700</v>
      </c>
      <c r="E485" t="s">
        <v>2205</v>
      </c>
      <c r="F485" t="s">
        <v>2692</v>
      </c>
    </row>
    <row r="486" spans="2:6">
      <c r="B486" t="s">
        <v>462</v>
      </c>
      <c r="C486" t="s">
        <v>1263</v>
      </c>
      <c r="D486" t="s">
        <v>1779</v>
      </c>
      <c r="E486" t="s">
        <v>2288</v>
      </c>
      <c r="F486" t="s">
        <v>2769</v>
      </c>
    </row>
    <row r="487" spans="2:6">
      <c r="B487" t="s">
        <v>807</v>
      </c>
      <c r="C487" t="s">
        <v>2867</v>
      </c>
      <c r="D487" t="s">
        <v>1369</v>
      </c>
      <c r="E487" t="s">
        <v>2868</v>
      </c>
      <c r="F487" t="s">
        <v>2384</v>
      </c>
    </row>
    <row r="488" spans="2:6">
      <c r="B488" t="s">
        <v>60</v>
      </c>
      <c r="C488" t="s">
        <v>916</v>
      </c>
      <c r="D488" t="s">
        <v>1443</v>
      </c>
      <c r="E488" t="s">
        <v>1957</v>
      </c>
      <c r="F488" t="s">
        <v>2450</v>
      </c>
    </row>
    <row r="489" spans="2:6">
      <c r="B489" t="s">
        <v>253</v>
      </c>
      <c r="C489" t="s">
        <v>1220</v>
      </c>
      <c r="D489" t="s">
        <v>1741</v>
      </c>
      <c r="E489" t="s">
        <v>2245</v>
      </c>
      <c r="F489" t="s">
        <v>2731</v>
      </c>
    </row>
    <row r="490" spans="2:6">
      <c r="B490" t="s">
        <v>830</v>
      </c>
      <c r="C490" t="s">
        <v>1253</v>
      </c>
      <c r="D490" t="s">
        <v>1770</v>
      </c>
      <c r="E490" t="s">
        <v>2278</v>
      </c>
      <c r="F490" t="s">
        <v>2760</v>
      </c>
    </row>
    <row r="491" spans="2:6">
      <c r="B491" t="s">
        <v>189</v>
      </c>
      <c r="C491" t="s">
        <v>904</v>
      </c>
      <c r="D491" t="s">
        <v>1431</v>
      </c>
      <c r="E491" t="s">
        <v>1945</v>
      </c>
      <c r="F491" t="s">
        <v>2440</v>
      </c>
    </row>
    <row r="492" spans="2:6">
      <c r="B492" t="s">
        <v>326</v>
      </c>
      <c r="C492" t="s">
        <v>1180</v>
      </c>
      <c r="D492" t="s">
        <v>1705</v>
      </c>
      <c r="E492" t="s">
        <v>2209</v>
      </c>
      <c r="F492" t="s">
        <v>2697</v>
      </c>
    </row>
    <row r="493" spans="2:6">
      <c r="B493" t="s">
        <v>287</v>
      </c>
      <c r="C493" t="s">
        <v>924</v>
      </c>
      <c r="D493" t="s">
        <v>1451</v>
      </c>
      <c r="E493" t="s">
        <v>1965</v>
      </c>
      <c r="F493" t="s">
        <v>2425</v>
      </c>
    </row>
    <row r="494" spans="2:6">
      <c r="B494" t="s">
        <v>51</v>
      </c>
      <c r="C494" t="s">
        <v>876</v>
      </c>
      <c r="D494" t="s">
        <v>1404</v>
      </c>
      <c r="E494" t="s">
        <v>1917</v>
      </c>
      <c r="F494" t="s">
        <v>2418</v>
      </c>
    </row>
    <row r="495" spans="2:6">
      <c r="B495" t="s">
        <v>836</v>
      </c>
      <c r="C495" t="s">
        <v>1360</v>
      </c>
      <c r="D495" t="s">
        <v>1873</v>
      </c>
      <c r="E495" t="s">
        <v>2377</v>
      </c>
      <c r="F495" t="s">
        <v>2858</v>
      </c>
    </row>
    <row r="496" spans="2:6">
      <c r="B496" t="s">
        <v>327</v>
      </c>
      <c r="C496" t="s">
        <v>1293</v>
      </c>
      <c r="D496" t="s">
        <v>1807</v>
      </c>
      <c r="E496" t="s">
        <v>2315</v>
      </c>
      <c r="F496" t="s">
        <v>2796</v>
      </c>
    </row>
    <row r="497" spans="2:6">
      <c r="B497" t="s">
        <v>141</v>
      </c>
      <c r="C497" t="s">
        <v>1135</v>
      </c>
      <c r="D497" t="s">
        <v>1660</v>
      </c>
      <c r="E497" t="s">
        <v>2165</v>
      </c>
      <c r="F497" t="s">
        <v>2655</v>
      </c>
    </row>
    <row r="498" spans="2:6">
      <c r="B498" t="s">
        <v>249</v>
      </c>
      <c r="C498" t="s">
        <v>1177</v>
      </c>
      <c r="D498" t="s">
        <v>1702</v>
      </c>
      <c r="E498" t="s">
        <v>2207</v>
      </c>
      <c r="F498" t="s">
        <v>2694</v>
      </c>
    </row>
    <row r="499" spans="2:6">
      <c r="B499" t="s">
        <v>147</v>
      </c>
      <c r="C499" t="s">
        <v>957</v>
      </c>
      <c r="D499" t="s">
        <v>1484</v>
      </c>
      <c r="E499" t="s">
        <v>1998</v>
      </c>
      <c r="F499" t="s">
        <v>2489</v>
      </c>
    </row>
    <row r="500" spans="2:6">
      <c r="B500" t="s">
        <v>472</v>
      </c>
      <c r="C500" t="s">
        <v>1323</v>
      </c>
      <c r="D500" t="s">
        <v>1836</v>
      </c>
      <c r="E500" t="s">
        <v>2341</v>
      </c>
      <c r="F500" t="s">
        <v>2824</v>
      </c>
    </row>
    <row r="501" spans="2:6">
      <c r="B501" t="s">
        <v>53</v>
      </c>
      <c r="C501" t="s">
        <v>859</v>
      </c>
      <c r="D501" t="s">
        <v>868</v>
      </c>
      <c r="E501" t="s">
        <v>1401</v>
      </c>
      <c r="F501" t="s">
        <v>2405</v>
      </c>
    </row>
    <row r="502" spans="2:6">
      <c r="B502" t="s">
        <v>318</v>
      </c>
      <c r="C502" t="s">
        <v>993</v>
      </c>
      <c r="D502" t="s">
        <v>1520</v>
      </c>
      <c r="E502" t="s">
        <v>2033</v>
      </c>
      <c r="F502" t="s">
        <v>2033</v>
      </c>
    </row>
    <row r="503" spans="2:6">
      <c r="B503" t="s">
        <v>296</v>
      </c>
      <c r="C503" t="s">
        <v>1192</v>
      </c>
      <c r="D503" t="s">
        <v>525</v>
      </c>
      <c r="E503" t="s">
        <v>2220</v>
      </c>
      <c r="F503" t="s">
        <v>2708</v>
      </c>
    </row>
    <row r="504" spans="2:6">
      <c r="B504" t="s">
        <v>349</v>
      </c>
      <c r="C504" t="s">
        <v>980</v>
      </c>
      <c r="D504" t="s">
        <v>1507</v>
      </c>
      <c r="E504" t="s">
        <v>2020</v>
      </c>
      <c r="F504" t="s">
        <v>2511</v>
      </c>
    </row>
    <row r="505" spans="2:6">
      <c r="B505" t="s">
        <v>300</v>
      </c>
      <c r="C505" t="s">
        <v>1077</v>
      </c>
      <c r="D505" t="s">
        <v>1603</v>
      </c>
      <c r="E505" t="s">
        <v>2111</v>
      </c>
      <c r="F505" t="s">
        <v>2560</v>
      </c>
    </row>
    <row r="506" spans="2:6">
      <c r="B506" t="s">
        <v>316</v>
      </c>
      <c r="C506" t="s">
        <v>952</v>
      </c>
      <c r="D506" t="s">
        <v>1479</v>
      </c>
      <c r="E506" t="s">
        <v>1993</v>
      </c>
      <c r="F506" t="s">
        <v>2484</v>
      </c>
    </row>
    <row r="507" spans="2:6">
      <c r="B507" t="s">
        <v>502</v>
      </c>
      <c r="C507" t="s">
        <v>942</v>
      </c>
      <c r="D507" t="s">
        <v>1469</v>
      </c>
      <c r="E507" t="s">
        <v>1983</v>
      </c>
      <c r="F507" t="s">
        <v>2474</v>
      </c>
    </row>
    <row r="508" spans="2:6">
      <c r="B508" t="s">
        <v>397</v>
      </c>
      <c r="C508" t="s">
        <v>1280</v>
      </c>
      <c r="D508" t="s">
        <v>1795</v>
      </c>
      <c r="E508" t="s">
        <v>2303</v>
      </c>
      <c r="F508" t="s">
        <v>2785</v>
      </c>
    </row>
    <row r="509" spans="2:6">
      <c r="B509" t="s">
        <v>359</v>
      </c>
      <c r="C509" t="s">
        <v>1314</v>
      </c>
      <c r="D509" t="s">
        <v>1827</v>
      </c>
      <c r="E509" t="s">
        <v>2334</v>
      </c>
      <c r="F509" t="s">
        <v>2817</v>
      </c>
    </row>
    <row r="510" spans="2:6">
      <c r="B510" t="s">
        <v>355</v>
      </c>
      <c r="C510" t="s">
        <v>1141</v>
      </c>
      <c r="D510" t="s">
        <v>1666</v>
      </c>
      <c r="E510" t="s">
        <v>2171</v>
      </c>
      <c r="F510" t="s">
        <v>2661</v>
      </c>
    </row>
    <row r="511" spans="2:6">
      <c r="B511" t="s">
        <v>464</v>
      </c>
      <c r="C511" t="s">
        <v>1031</v>
      </c>
      <c r="D511" t="s">
        <v>1557</v>
      </c>
      <c r="E511" t="s">
        <v>2070</v>
      </c>
      <c r="F511" t="s">
        <v>2559</v>
      </c>
    </row>
    <row r="512" spans="2:6">
      <c r="B512" t="s">
        <v>107</v>
      </c>
      <c r="C512" t="s">
        <v>1092</v>
      </c>
      <c r="D512" t="s">
        <v>1618</v>
      </c>
      <c r="E512" t="s">
        <v>2124</v>
      </c>
      <c r="F512" t="s">
        <v>2616</v>
      </c>
    </row>
    <row r="513" spans="2:6">
      <c r="B513" t="s">
        <v>486</v>
      </c>
      <c r="C513" t="s">
        <v>1090</v>
      </c>
      <c r="D513" t="s">
        <v>1616</v>
      </c>
      <c r="E513" t="s">
        <v>2122</v>
      </c>
      <c r="F513" t="s">
        <v>2614</v>
      </c>
    </row>
    <row r="514" spans="2:6">
      <c r="B514" t="s">
        <v>395</v>
      </c>
      <c r="C514" t="s">
        <v>1244</v>
      </c>
      <c r="D514" t="s">
        <v>1762</v>
      </c>
      <c r="E514" t="s">
        <v>2269</v>
      </c>
      <c r="F514" t="s">
        <v>2751</v>
      </c>
    </row>
    <row r="515" spans="2:6">
      <c r="B515" t="s">
        <v>315</v>
      </c>
      <c r="C515" t="s">
        <v>1082</v>
      </c>
      <c r="D515" t="s">
        <v>1608</v>
      </c>
      <c r="E515" t="s">
        <v>2114</v>
      </c>
      <c r="F515" t="s">
        <v>2606</v>
      </c>
    </row>
    <row r="516" spans="2:6">
      <c r="B516" t="s">
        <v>57</v>
      </c>
      <c r="C516" t="s">
        <v>915</v>
      </c>
      <c r="D516" t="s">
        <v>1442</v>
      </c>
      <c r="E516" t="s">
        <v>1956</v>
      </c>
      <c r="F516" t="s">
        <v>2375</v>
      </c>
    </row>
    <row r="517" spans="2:6">
      <c r="B517" t="s">
        <v>183</v>
      </c>
      <c r="C517" t="s">
        <v>902</v>
      </c>
      <c r="D517" t="s">
        <v>1429</v>
      </c>
      <c r="E517" t="s">
        <v>1943</v>
      </c>
      <c r="F517" t="s">
        <v>2439</v>
      </c>
    </row>
    <row r="518" spans="2:6">
      <c r="B518" t="s">
        <v>175</v>
      </c>
      <c r="C518" t="s">
        <v>883</v>
      </c>
      <c r="D518" t="s">
        <v>873</v>
      </c>
      <c r="E518" t="s">
        <v>1924</v>
      </c>
      <c r="F518" t="s">
        <v>872</v>
      </c>
    </row>
    <row r="519" spans="2:6">
      <c r="B519" t="s">
        <v>274</v>
      </c>
      <c r="C519" t="s">
        <v>1191</v>
      </c>
      <c r="D519" t="s">
        <v>1716</v>
      </c>
      <c r="E519" t="s">
        <v>2219</v>
      </c>
      <c r="F519" t="s">
        <v>2707</v>
      </c>
    </row>
    <row r="520" spans="2:6">
      <c r="B520" t="s">
        <v>427</v>
      </c>
      <c r="C520" t="s">
        <v>947</v>
      </c>
      <c r="D520" t="s">
        <v>1474</v>
      </c>
      <c r="E520" t="s">
        <v>1988</v>
      </c>
      <c r="F520" t="s">
        <v>2479</v>
      </c>
    </row>
    <row r="521" spans="2:6">
      <c r="B521" t="s">
        <v>45</v>
      </c>
      <c r="C521" t="s">
        <v>844</v>
      </c>
      <c r="D521" t="s">
        <v>1376</v>
      </c>
      <c r="E521" t="s">
        <v>1889</v>
      </c>
      <c r="F521" t="s">
        <v>2391</v>
      </c>
    </row>
    <row r="522" spans="2:6">
      <c r="B522" t="s">
        <v>104</v>
      </c>
      <c r="C522" t="s">
        <v>840</v>
      </c>
      <c r="D522" t="s">
        <v>1372</v>
      </c>
      <c r="E522" t="s">
        <v>1885</v>
      </c>
      <c r="F522" t="s">
        <v>2387</v>
      </c>
    </row>
    <row r="523" spans="2:6">
      <c r="B523" t="s">
        <v>374</v>
      </c>
      <c r="C523" t="s">
        <v>1015</v>
      </c>
      <c r="D523" t="s">
        <v>1541</v>
      </c>
      <c r="E523" t="s">
        <v>2054</v>
      </c>
      <c r="F523" t="s">
        <v>2544</v>
      </c>
    </row>
    <row r="524" spans="2:6">
      <c r="B524" t="s">
        <v>36</v>
      </c>
      <c r="C524" t="s">
        <v>1197</v>
      </c>
      <c r="D524" t="s">
        <v>1719</v>
      </c>
      <c r="E524" t="s">
        <v>2224</v>
      </c>
      <c r="F524" t="s">
        <v>2711</v>
      </c>
    </row>
    <row r="525" spans="2:6">
      <c r="B525" t="s">
        <v>819</v>
      </c>
      <c r="C525" t="s">
        <v>1006</v>
      </c>
      <c r="D525" t="s">
        <v>1533</v>
      </c>
      <c r="E525" t="s">
        <v>2046</v>
      </c>
      <c r="F525" t="s">
        <v>2535</v>
      </c>
    </row>
    <row r="526" spans="2:6">
      <c r="B526" t="s">
        <v>391</v>
      </c>
      <c r="C526" t="s">
        <v>1277</v>
      </c>
      <c r="D526" t="s">
        <v>1792</v>
      </c>
      <c r="E526" t="s">
        <v>2300</v>
      </c>
      <c r="F526" t="s">
        <v>2782</v>
      </c>
    </row>
    <row r="527" spans="2:6">
      <c r="B527" t="s">
        <v>323</v>
      </c>
      <c r="C527" t="s">
        <v>960</v>
      </c>
      <c r="D527" t="s">
        <v>1487</v>
      </c>
      <c r="E527" t="s">
        <v>2001</v>
      </c>
      <c r="F527" t="s">
        <v>2492</v>
      </c>
    </row>
    <row r="528" spans="2:6">
      <c r="B528" t="s">
        <v>341</v>
      </c>
      <c r="C528" t="s">
        <v>1276</v>
      </c>
      <c r="D528" t="s">
        <v>1791</v>
      </c>
      <c r="E528" t="s">
        <v>2299</v>
      </c>
      <c r="F528" t="s">
        <v>1275</v>
      </c>
    </row>
    <row r="529" spans="2:6">
      <c r="B529" t="s">
        <v>237</v>
      </c>
      <c r="C529" t="s">
        <v>1153</v>
      </c>
      <c r="D529" t="s">
        <v>1678</v>
      </c>
      <c r="E529" t="s">
        <v>2183</v>
      </c>
      <c r="F529" t="s">
        <v>2672</v>
      </c>
    </row>
    <row r="530" spans="2:6">
      <c r="B530" t="s">
        <v>18</v>
      </c>
      <c r="C530" t="s">
        <v>1367</v>
      </c>
      <c r="D530" t="s">
        <v>1880</v>
      </c>
      <c r="E530" t="s">
        <v>1899</v>
      </c>
      <c r="F530" t="s">
        <v>2865</v>
      </c>
    </row>
    <row r="531" spans="2:6">
      <c r="B531" t="s">
        <v>59</v>
      </c>
      <c r="C531" t="s">
        <v>1368</v>
      </c>
      <c r="D531" t="s">
        <v>1881</v>
      </c>
      <c r="E531" t="s">
        <v>2383</v>
      </c>
      <c r="F531" t="s">
        <v>2866</v>
      </c>
    </row>
    <row r="532" spans="2:6">
      <c r="B532" t="s">
        <v>91</v>
      </c>
      <c r="C532" t="s">
        <v>1105</v>
      </c>
      <c r="D532" t="s">
        <v>1631</v>
      </c>
      <c r="E532" t="s">
        <v>2137</v>
      </c>
      <c r="F532" t="s">
        <v>2629</v>
      </c>
    </row>
    <row r="533" spans="2:6">
      <c r="B533" t="s">
        <v>194</v>
      </c>
      <c r="C533" t="s">
        <v>1097</v>
      </c>
      <c r="D533" t="s">
        <v>1623</v>
      </c>
      <c r="E533" t="s">
        <v>2129</v>
      </c>
      <c r="F533" t="s">
        <v>2621</v>
      </c>
    </row>
    <row r="534" spans="2:6">
      <c r="B534" t="s">
        <v>490</v>
      </c>
      <c r="C534" t="s">
        <v>1346</v>
      </c>
      <c r="D534" t="s">
        <v>1859</v>
      </c>
      <c r="E534" t="s">
        <v>2364</v>
      </c>
      <c r="F534" t="s">
        <v>2844</v>
      </c>
    </row>
    <row r="535" spans="2:6">
      <c r="B535" t="s">
        <v>89</v>
      </c>
      <c r="C535" t="s">
        <v>1319</v>
      </c>
      <c r="D535" t="s">
        <v>1832</v>
      </c>
      <c r="E535" t="s">
        <v>2337</v>
      </c>
      <c r="F535" t="s">
        <v>2375</v>
      </c>
    </row>
    <row r="536" spans="2:6">
      <c r="B536" t="s">
        <v>41</v>
      </c>
      <c r="C536" t="s">
        <v>1362</v>
      </c>
      <c r="D536" t="s">
        <v>1875</v>
      </c>
      <c r="E536" t="s">
        <v>2378</v>
      </c>
      <c r="F536" t="s">
        <v>2860</v>
      </c>
    </row>
    <row r="537" spans="2:6">
      <c r="B537" t="s">
        <v>169</v>
      </c>
      <c r="C537" t="s">
        <v>976</v>
      </c>
      <c r="D537" t="s">
        <v>1503</v>
      </c>
      <c r="E537" t="s">
        <v>2016</v>
      </c>
      <c r="F537" t="s">
        <v>2508</v>
      </c>
    </row>
    <row r="538" spans="2:6">
      <c r="B538" t="s">
        <v>217</v>
      </c>
      <c r="C538" t="s">
        <v>1208</v>
      </c>
      <c r="D538" t="s">
        <v>1730</v>
      </c>
      <c r="E538" t="s">
        <v>1730</v>
      </c>
      <c r="F538" t="s">
        <v>2721</v>
      </c>
    </row>
    <row r="539" spans="2:6">
      <c r="B539" t="s">
        <v>131</v>
      </c>
      <c r="C539" t="s">
        <v>1174</v>
      </c>
      <c r="D539" t="s">
        <v>1699</v>
      </c>
      <c r="E539" t="s">
        <v>2204</v>
      </c>
      <c r="F539" t="s">
        <v>2691</v>
      </c>
    </row>
    <row r="540" spans="2:6">
      <c r="B540" t="s">
        <v>245</v>
      </c>
      <c r="C540" t="s">
        <v>974</v>
      </c>
      <c r="D540" t="s">
        <v>1501</v>
      </c>
      <c r="E540" t="s">
        <v>2014</v>
      </c>
      <c r="F540" t="s">
        <v>2506</v>
      </c>
    </row>
    <row r="541" spans="2:6">
      <c r="B541" t="s">
        <v>814</v>
      </c>
      <c r="C541" t="s">
        <v>845</v>
      </c>
      <c r="D541" t="s">
        <v>1377</v>
      </c>
      <c r="E541" t="s">
        <v>1890</v>
      </c>
      <c r="F541" t="s">
        <v>2392</v>
      </c>
    </row>
    <row r="542" spans="2:6">
      <c r="B542" t="s">
        <v>321</v>
      </c>
      <c r="C542" t="s">
        <v>1284</v>
      </c>
      <c r="D542" t="s">
        <v>1798</v>
      </c>
      <c r="E542" t="s">
        <v>2306</v>
      </c>
      <c r="F542" t="s">
        <v>2788</v>
      </c>
    </row>
    <row r="543" spans="2:6">
      <c r="B543" t="s">
        <v>828</v>
      </c>
      <c r="C543" t="s">
        <v>1224</v>
      </c>
      <c r="D543" t="s">
        <v>1745</v>
      </c>
      <c r="E543" t="s">
        <v>2249</v>
      </c>
      <c r="F543" t="s">
        <v>2735</v>
      </c>
    </row>
    <row r="544" spans="2:6">
      <c r="B544" t="s">
        <v>238</v>
      </c>
      <c r="C544" t="s">
        <v>1235</v>
      </c>
      <c r="D544" t="s">
        <v>1754</v>
      </c>
      <c r="E544" t="s">
        <v>2260</v>
      </c>
      <c r="F544" t="s">
        <v>2744</v>
      </c>
    </row>
  </sheetData>
  <sortState ref="B6:F544">
    <sortCondition ref="B6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544"/>
  <sheetViews>
    <sheetView workbookViewId="0">
      <selection activeCell="C265" sqref="C265"/>
    </sheetView>
  </sheetViews>
  <sheetFormatPr defaultRowHeight="15"/>
  <cols>
    <col min="2" max="2" width="37.7109375" bestFit="1" customWidth="1"/>
  </cols>
  <sheetData>
    <row r="6" spans="2:6">
      <c r="B6" t="s">
        <v>409</v>
      </c>
      <c r="C6" t="s">
        <v>3259</v>
      </c>
      <c r="D6" t="s">
        <v>3678</v>
      </c>
      <c r="E6" t="s">
        <v>4073</v>
      </c>
      <c r="F6" t="s">
        <v>4442</v>
      </c>
    </row>
    <row r="7" spans="2:6">
      <c r="B7" t="s">
        <v>23</v>
      </c>
      <c r="C7" t="s">
        <v>2997</v>
      </c>
      <c r="D7" t="s">
        <v>3433</v>
      </c>
      <c r="E7" t="s">
        <v>3411</v>
      </c>
      <c r="F7" t="s">
        <v>3823</v>
      </c>
    </row>
    <row r="8" spans="2:6">
      <c r="B8" t="s">
        <v>137</v>
      </c>
      <c r="C8" t="s">
        <v>3020</v>
      </c>
      <c r="D8" t="s">
        <v>3415</v>
      </c>
      <c r="E8" t="s">
        <v>3867</v>
      </c>
      <c r="F8" t="s">
        <v>4252</v>
      </c>
    </row>
    <row r="9" spans="2:6">
      <c r="B9" t="s">
        <v>25</v>
      </c>
      <c r="C9" t="s">
        <v>3250</v>
      </c>
      <c r="D9" t="s">
        <v>3665</v>
      </c>
      <c r="E9" t="s">
        <v>4060</v>
      </c>
      <c r="F9" t="s">
        <v>4430</v>
      </c>
    </row>
    <row r="10" spans="2:6">
      <c r="B10" t="s">
        <v>48</v>
      </c>
      <c r="C10" t="s">
        <v>2904</v>
      </c>
      <c r="D10" t="s">
        <v>3357</v>
      </c>
      <c r="E10" t="s">
        <v>3776</v>
      </c>
      <c r="F10" t="s">
        <v>4164</v>
      </c>
    </row>
    <row r="11" spans="2:6">
      <c r="B11" t="s">
        <v>111</v>
      </c>
      <c r="C11" t="s">
        <v>3006</v>
      </c>
      <c r="D11" t="s">
        <v>3440</v>
      </c>
      <c r="E11" t="s">
        <v>3855</v>
      </c>
      <c r="F11" t="s">
        <v>3847</v>
      </c>
    </row>
    <row r="12" spans="2:6">
      <c r="B12" t="s">
        <v>440</v>
      </c>
      <c r="C12" t="s">
        <v>3215</v>
      </c>
      <c r="D12" t="s">
        <v>3627</v>
      </c>
      <c r="E12" t="s">
        <v>4024</v>
      </c>
      <c r="F12" t="s">
        <v>4398</v>
      </c>
    </row>
    <row r="13" spans="2:6">
      <c r="B13" t="s">
        <v>63</v>
      </c>
      <c r="C13" t="s">
        <v>2892</v>
      </c>
      <c r="D13" t="s">
        <v>3344</v>
      </c>
      <c r="E13" t="s">
        <v>3763</v>
      </c>
      <c r="F13" t="s">
        <v>4153</v>
      </c>
    </row>
    <row r="14" spans="2:6">
      <c r="B14" t="s">
        <v>19</v>
      </c>
      <c r="C14" t="s">
        <v>1413</v>
      </c>
      <c r="D14" t="s">
        <v>3053</v>
      </c>
      <c r="E14" t="s">
        <v>2403</v>
      </c>
      <c r="F14" t="s">
        <v>2375</v>
      </c>
    </row>
    <row r="15" spans="2:6">
      <c r="B15" t="s">
        <v>408</v>
      </c>
      <c r="C15" t="s">
        <v>3178</v>
      </c>
      <c r="D15" t="s">
        <v>2846</v>
      </c>
      <c r="E15" t="s">
        <v>3990</v>
      </c>
      <c r="F15" t="s">
        <v>4366</v>
      </c>
    </row>
    <row r="16" spans="2:6">
      <c r="B16" t="s">
        <v>239</v>
      </c>
      <c r="C16" t="s">
        <v>3073</v>
      </c>
      <c r="D16" t="s">
        <v>3496</v>
      </c>
      <c r="E16" t="s">
        <v>3900</v>
      </c>
      <c r="F16" t="s">
        <v>4280</v>
      </c>
    </row>
    <row r="17" spans="2:6">
      <c r="B17" t="s">
        <v>267</v>
      </c>
      <c r="C17" t="s">
        <v>3239</v>
      </c>
      <c r="D17" t="s">
        <v>3654</v>
      </c>
      <c r="E17" t="s">
        <v>4051</v>
      </c>
      <c r="F17" t="s">
        <v>4051</v>
      </c>
    </row>
    <row r="18" spans="2:6">
      <c r="B18" t="s">
        <v>66</v>
      </c>
      <c r="C18" t="s">
        <v>2913</v>
      </c>
      <c r="D18" t="s">
        <v>3366</v>
      </c>
      <c r="E18" t="s">
        <v>3785</v>
      </c>
      <c r="F18" t="s">
        <v>4172</v>
      </c>
    </row>
    <row r="19" spans="2:6">
      <c r="B19" t="s">
        <v>264</v>
      </c>
      <c r="C19" t="s">
        <v>3051</v>
      </c>
      <c r="D19" t="s">
        <v>3475</v>
      </c>
      <c r="E19" t="s">
        <v>3478</v>
      </c>
      <c r="F19" t="s">
        <v>865</v>
      </c>
    </row>
    <row r="20" spans="2:6">
      <c r="B20" t="s">
        <v>269</v>
      </c>
      <c r="C20" t="s">
        <v>3196</v>
      </c>
      <c r="D20" t="s">
        <v>3608</v>
      </c>
      <c r="E20" t="s">
        <v>4006</v>
      </c>
      <c r="F20" t="s">
        <v>4381</v>
      </c>
    </row>
    <row r="21" spans="2:6">
      <c r="B21" t="s">
        <v>71</v>
      </c>
      <c r="C21" t="s">
        <v>1884</v>
      </c>
      <c r="D21" t="s">
        <v>3356</v>
      </c>
      <c r="E21" t="s">
        <v>3775</v>
      </c>
      <c r="F21" t="s">
        <v>4163</v>
      </c>
    </row>
    <row r="22" spans="2:6">
      <c r="B22" t="s">
        <v>477</v>
      </c>
      <c r="C22" t="s">
        <v>3140</v>
      </c>
      <c r="D22" t="s">
        <v>3557</v>
      </c>
      <c r="E22" t="s">
        <v>3955</v>
      </c>
      <c r="F22" t="s">
        <v>4333</v>
      </c>
    </row>
    <row r="23" spans="2:6">
      <c r="B23" t="s">
        <v>392</v>
      </c>
      <c r="C23" t="s">
        <v>3126</v>
      </c>
      <c r="D23" t="s">
        <v>3543</v>
      </c>
      <c r="E23" t="s">
        <v>3941</v>
      </c>
      <c r="F23" t="s">
        <v>4320</v>
      </c>
    </row>
    <row r="24" spans="2:6">
      <c r="B24" t="s">
        <v>233</v>
      </c>
      <c r="C24" t="s">
        <v>3029</v>
      </c>
      <c r="D24" t="s">
        <v>3024</v>
      </c>
      <c r="E24" t="s">
        <v>852</v>
      </c>
      <c r="F24" t="s">
        <v>1902</v>
      </c>
    </row>
    <row r="25" spans="2:6">
      <c r="B25" t="s">
        <v>380</v>
      </c>
      <c r="C25" t="s">
        <v>1378</v>
      </c>
      <c r="D25" t="s">
        <v>3446</v>
      </c>
      <c r="E25" t="s">
        <v>3861</v>
      </c>
      <c r="F25" t="s">
        <v>4249</v>
      </c>
    </row>
    <row r="26" spans="2:6">
      <c r="B26" t="s">
        <v>47</v>
      </c>
      <c r="C26" t="s">
        <v>3296</v>
      </c>
      <c r="D26" t="s">
        <v>3714</v>
      </c>
      <c r="E26" t="s">
        <v>4107</v>
      </c>
      <c r="F26" t="s">
        <v>4475</v>
      </c>
    </row>
    <row r="27" spans="2:6">
      <c r="B27" t="s">
        <v>481</v>
      </c>
      <c r="C27" t="s">
        <v>3058</v>
      </c>
      <c r="D27" t="s">
        <v>867</v>
      </c>
      <c r="E27" t="s">
        <v>3054</v>
      </c>
      <c r="F27" t="s">
        <v>3055</v>
      </c>
    </row>
    <row r="28" spans="2:6">
      <c r="B28" t="s">
        <v>360</v>
      </c>
      <c r="C28" t="s">
        <v>3103</v>
      </c>
      <c r="D28" t="s">
        <v>3520</v>
      </c>
      <c r="E28" t="s">
        <v>3920</v>
      </c>
      <c r="F28" t="s">
        <v>4300</v>
      </c>
    </row>
    <row r="29" spans="2:6">
      <c r="B29" t="s">
        <v>102</v>
      </c>
      <c r="C29" t="s">
        <v>2963</v>
      </c>
      <c r="D29" t="s">
        <v>3408</v>
      </c>
      <c r="E29" t="s">
        <v>3823</v>
      </c>
      <c r="F29" t="s">
        <v>4215</v>
      </c>
    </row>
    <row r="30" spans="2:6">
      <c r="B30" t="s">
        <v>27</v>
      </c>
      <c r="C30" t="s">
        <v>2888</v>
      </c>
      <c r="D30" t="s">
        <v>3340</v>
      </c>
      <c r="E30" t="s">
        <v>3759</v>
      </c>
      <c r="F30" t="s">
        <v>4150</v>
      </c>
    </row>
    <row r="31" spans="2:6">
      <c r="B31" t="s">
        <v>153</v>
      </c>
      <c r="C31" t="s">
        <v>873</v>
      </c>
      <c r="D31" t="s">
        <v>2403</v>
      </c>
      <c r="E31" t="s">
        <v>873</v>
      </c>
      <c r="F31" t="s">
        <v>4268</v>
      </c>
    </row>
    <row r="32" spans="2:6">
      <c r="B32" t="s">
        <v>311</v>
      </c>
      <c r="C32" t="s">
        <v>3016</v>
      </c>
      <c r="D32" t="s">
        <v>1378</v>
      </c>
      <c r="E32" t="s">
        <v>1896</v>
      </c>
      <c r="F32" t="s">
        <v>852</v>
      </c>
    </row>
    <row r="33" spans="2:6">
      <c r="B33" t="s">
        <v>328</v>
      </c>
      <c r="C33" t="s">
        <v>3306</v>
      </c>
      <c r="D33" t="s">
        <v>3724</v>
      </c>
      <c r="E33" t="s">
        <v>4117</v>
      </c>
      <c r="F33" t="s">
        <v>4485</v>
      </c>
    </row>
    <row r="34" spans="2:6">
      <c r="B34" t="s">
        <v>302</v>
      </c>
      <c r="C34" t="s">
        <v>3128</v>
      </c>
      <c r="D34" t="s">
        <v>3545</v>
      </c>
      <c r="E34" t="s">
        <v>3943</v>
      </c>
      <c r="F34" t="s">
        <v>4322</v>
      </c>
    </row>
    <row r="35" spans="2:6">
      <c r="B35" t="s">
        <v>824</v>
      </c>
      <c r="C35" t="s">
        <v>3244</v>
      </c>
      <c r="D35" t="s">
        <v>3659</v>
      </c>
      <c r="E35" t="s">
        <v>4055</v>
      </c>
      <c r="F35" t="s">
        <v>4424</v>
      </c>
    </row>
    <row r="36" spans="2:6">
      <c r="B36" t="s">
        <v>340</v>
      </c>
      <c r="C36" t="s">
        <v>3137</v>
      </c>
      <c r="D36" t="s">
        <v>3554</v>
      </c>
      <c r="E36" t="s">
        <v>3952</v>
      </c>
      <c r="F36" t="s">
        <v>4330</v>
      </c>
    </row>
    <row r="37" spans="2:6">
      <c r="B37" t="s">
        <v>339</v>
      </c>
      <c r="C37" t="s">
        <v>3237</v>
      </c>
      <c r="D37" t="s">
        <v>3652</v>
      </c>
      <c r="E37" t="s">
        <v>4049</v>
      </c>
      <c r="F37" t="s">
        <v>4420</v>
      </c>
    </row>
    <row r="38" spans="2:6">
      <c r="B38" t="s">
        <v>478</v>
      </c>
      <c r="C38" t="s">
        <v>2837</v>
      </c>
      <c r="D38" t="s">
        <v>3039</v>
      </c>
      <c r="E38" t="s">
        <v>3479</v>
      </c>
      <c r="F38" t="s">
        <v>3467</v>
      </c>
    </row>
    <row r="39" spans="2:6">
      <c r="B39" t="s">
        <v>113</v>
      </c>
      <c r="C39" t="s">
        <v>1393</v>
      </c>
      <c r="D39" t="s">
        <v>3041</v>
      </c>
      <c r="E39" t="s">
        <v>3038</v>
      </c>
      <c r="F39" t="s">
        <v>4263</v>
      </c>
    </row>
    <row r="40" spans="2:6">
      <c r="B40" t="s">
        <v>299</v>
      </c>
      <c r="C40" t="s">
        <v>2967</v>
      </c>
      <c r="D40" t="s">
        <v>3407</v>
      </c>
      <c r="E40" t="s">
        <v>3827</v>
      </c>
      <c r="F40" t="s">
        <v>4218</v>
      </c>
    </row>
    <row r="41" spans="2:6">
      <c r="B41" t="s">
        <v>144</v>
      </c>
      <c r="C41" t="s">
        <v>3290</v>
      </c>
      <c r="D41" t="s">
        <v>3708</v>
      </c>
      <c r="E41" t="s">
        <v>4101</v>
      </c>
      <c r="F41" t="s">
        <v>4469</v>
      </c>
    </row>
    <row r="42" spans="2:6">
      <c r="B42" t="s">
        <v>277</v>
      </c>
      <c r="C42" t="s">
        <v>3039</v>
      </c>
      <c r="D42" t="s">
        <v>3470</v>
      </c>
      <c r="E42" t="s">
        <v>3432</v>
      </c>
      <c r="F42" t="s">
        <v>4261</v>
      </c>
    </row>
    <row r="43" spans="2:6">
      <c r="B43" t="s">
        <v>145</v>
      </c>
      <c r="C43" t="s">
        <v>3132</v>
      </c>
      <c r="D43" t="s">
        <v>3549</v>
      </c>
      <c r="E43" t="s">
        <v>3947</v>
      </c>
      <c r="F43" t="s">
        <v>4326</v>
      </c>
    </row>
    <row r="44" spans="2:6">
      <c r="B44" t="s">
        <v>155</v>
      </c>
      <c r="C44" t="s">
        <v>2896</v>
      </c>
      <c r="D44" t="s">
        <v>3348</v>
      </c>
      <c r="E44" t="s">
        <v>3767</v>
      </c>
      <c r="F44" t="s">
        <v>4156</v>
      </c>
    </row>
    <row r="45" spans="2:6">
      <c r="B45" t="s">
        <v>185</v>
      </c>
      <c r="C45" t="s">
        <v>1907</v>
      </c>
      <c r="D45" t="s">
        <v>3468</v>
      </c>
      <c r="E45" t="s">
        <v>3465</v>
      </c>
      <c r="F45" t="s">
        <v>3866</v>
      </c>
    </row>
    <row r="46" spans="2:6">
      <c r="B46" t="s">
        <v>30</v>
      </c>
      <c r="C46" t="s">
        <v>2870</v>
      </c>
      <c r="D46" t="s">
        <v>3323</v>
      </c>
      <c r="E46" t="s">
        <v>3741</v>
      </c>
      <c r="F46" t="s">
        <v>4133</v>
      </c>
    </row>
    <row r="47" spans="2:6">
      <c r="B47" t="s">
        <v>251</v>
      </c>
      <c r="C47" t="s">
        <v>2917</v>
      </c>
      <c r="D47" t="s">
        <v>3370</v>
      </c>
      <c r="E47" t="s">
        <v>3789</v>
      </c>
      <c r="F47" t="s">
        <v>4176</v>
      </c>
    </row>
    <row r="48" spans="2:6">
      <c r="B48" t="s">
        <v>20</v>
      </c>
      <c r="C48" t="s">
        <v>1142</v>
      </c>
      <c r="D48" t="s">
        <v>3675</v>
      </c>
      <c r="E48" t="s">
        <v>4071</v>
      </c>
      <c r="F48" t="s">
        <v>4440</v>
      </c>
    </row>
    <row r="49" spans="2:6">
      <c r="B49" t="s">
        <v>207</v>
      </c>
      <c r="C49" t="s">
        <v>3162</v>
      </c>
      <c r="D49" t="s">
        <v>921</v>
      </c>
      <c r="E49" t="s">
        <v>3975</v>
      </c>
      <c r="F49" t="s">
        <v>3975</v>
      </c>
    </row>
    <row r="50" spans="2:6">
      <c r="B50" t="s">
        <v>222</v>
      </c>
      <c r="C50" t="s">
        <v>3280</v>
      </c>
      <c r="D50" t="s">
        <v>3698</v>
      </c>
      <c r="E50" t="s">
        <v>4091</v>
      </c>
      <c r="F50" t="s">
        <v>4459</v>
      </c>
    </row>
    <row r="51" spans="2:6">
      <c r="B51" t="s">
        <v>177</v>
      </c>
      <c r="C51" t="s">
        <v>3271</v>
      </c>
      <c r="D51" t="s">
        <v>3689</v>
      </c>
      <c r="E51" t="s">
        <v>4082</v>
      </c>
      <c r="F51" t="s">
        <v>4450</v>
      </c>
    </row>
    <row r="52" spans="2:6">
      <c r="B52" t="s">
        <v>317</v>
      </c>
      <c r="C52" t="s">
        <v>2959</v>
      </c>
      <c r="D52" t="s">
        <v>3405</v>
      </c>
      <c r="E52" t="s">
        <v>3819</v>
      </c>
      <c r="F52" t="s">
        <v>4211</v>
      </c>
    </row>
    <row r="53" spans="2:6">
      <c r="B53" t="s">
        <v>103</v>
      </c>
      <c r="C53" t="s">
        <v>2916</v>
      </c>
      <c r="D53" t="s">
        <v>3369</v>
      </c>
      <c r="E53" t="s">
        <v>3788</v>
      </c>
      <c r="F53" t="s">
        <v>4175</v>
      </c>
    </row>
    <row r="54" spans="2:6">
      <c r="B54" t="s">
        <v>829</v>
      </c>
      <c r="C54" t="s">
        <v>3042</v>
      </c>
      <c r="D54" t="s">
        <v>3471</v>
      </c>
      <c r="E54" t="s">
        <v>3882</v>
      </c>
      <c r="F54" t="s">
        <v>4262</v>
      </c>
    </row>
    <row r="55" spans="2:6">
      <c r="B55" t="s">
        <v>179</v>
      </c>
      <c r="C55" t="s">
        <v>2920</v>
      </c>
      <c r="D55" t="s">
        <v>839</v>
      </c>
      <c r="E55" t="s">
        <v>3791</v>
      </c>
      <c r="F55" t="s">
        <v>4179</v>
      </c>
    </row>
    <row r="56" spans="2:6">
      <c r="B56" t="s">
        <v>347</v>
      </c>
      <c r="C56" t="s">
        <v>3226</v>
      </c>
      <c r="D56" t="s">
        <v>3639</v>
      </c>
      <c r="E56" t="s">
        <v>4036</v>
      </c>
      <c r="F56" t="s">
        <v>4408</v>
      </c>
    </row>
    <row r="57" spans="2:6">
      <c r="B57" t="s">
        <v>215</v>
      </c>
      <c r="C57" t="s">
        <v>1908</v>
      </c>
      <c r="D57" t="s">
        <v>3022</v>
      </c>
      <c r="E57" t="s">
        <v>3852</v>
      </c>
      <c r="F57" t="s">
        <v>4260</v>
      </c>
    </row>
    <row r="58" spans="2:6">
      <c r="B58" t="s">
        <v>418</v>
      </c>
      <c r="C58" t="s">
        <v>3294</v>
      </c>
      <c r="D58" t="s">
        <v>3712</v>
      </c>
      <c r="E58" t="s">
        <v>4105</v>
      </c>
      <c r="F58" t="s">
        <v>4473</v>
      </c>
    </row>
    <row r="59" spans="2:6">
      <c r="B59" t="s">
        <v>6</v>
      </c>
      <c r="C59" t="s">
        <v>1659</v>
      </c>
      <c r="D59" t="s">
        <v>3671</v>
      </c>
      <c r="E59" t="s">
        <v>4066</v>
      </c>
      <c r="F59" t="s">
        <v>4435</v>
      </c>
    </row>
    <row r="60" spans="2:6">
      <c r="B60" t="s">
        <v>442</v>
      </c>
      <c r="C60" t="s">
        <v>3216</v>
      </c>
      <c r="D60" t="s">
        <v>3629</v>
      </c>
      <c r="E60" t="s">
        <v>4026</v>
      </c>
      <c r="F60" t="s">
        <v>4399</v>
      </c>
    </row>
    <row r="61" spans="2:6">
      <c r="B61" t="s">
        <v>398</v>
      </c>
      <c r="C61" t="s">
        <v>3265</v>
      </c>
      <c r="D61" t="s">
        <v>3683</v>
      </c>
      <c r="E61" t="s">
        <v>4077</v>
      </c>
      <c r="F61" t="s">
        <v>1142</v>
      </c>
    </row>
    <row r="62" spans="2:6">
      <c r="B62" t="s">
        <v>314</v>
      </c>
      <c r="C62" t="s">
        <v>3087</v>
      </c>
      <c r="D62" t="s">
        <v>3508</v>
      </c>
      <c r="E62" t="s">
        <v>3909</v>
      </c>
      <c r="F62" t="s">
        <v>4291</v>
      </c>
    </row>
    <row r="63" spans="2:6">
      <c r="B63" t="s">
        <v>160</v>
      </c>
      <c r="C63" t="s">
        <v>3176</v>
      </c>
      <c r="D63" t="s">
        <v>3591</v>
      </c>
      <c r="E63" t="s">
        <v>3184</v>
      </c>
      <c r="F63" t="s">
        <v>4364</v>
      </c>
    </row>
    <row r="64" spans="2:6">
      <c r="B64" t="s">
        <v>56</v>
      </c>
      <c r="C64" t="s">
        <v>2869</v>
      </c>
      <c r="D64" t="s">
        <v>3413</v>
      </c>
      <c r="E64" t="s">
        <v>3828</v>
      </c>
      <c r="F64" t="s">
        <v>3408</v>
      </c>
    </row>
    <row r="65" spans="2:6">
      <c r="B65" t="s">
        <v>282</v>
      </c>
      <c r="C65" t="s">
        <v>2924</v>
      </c>
      <c r="D65" t="s">
        <v>839</v>
      </c>
      <c r="E65" t="s">
        <v>3795</v>
      </c>
      <c r="F65" t="s">
        <v>4183</v>
      </c>
    </row>
    <row r="66" spans="2:6">
      <c r="B66" t="s">
        <v>332</v>
      </c>
      <c r="C66" t="s">
        <v>3311</v>
      </c>
      <c r="D66" t="s">
        <v>3729</v>
      </c>
      <c r="E66" t="s">
        <v>4122</v>
      </c>
      <c r="F66" t="s">
        <v>4489</v>
      </c>
    </row>
    <row r="67" spans="2:6">
      <c r="B67" t="s">
        <v>227</v>
      </c>
      <c r="C67" t="s">
        <v>1913</v>
      </c>
      <c r="D67" t="s">
        <v>3462</v>
      </c>
      <c r="E67" t="s">
        <v>3874</v>
      </c>
      <c r="F67" t="s">
        <v>1395</v>
      </c>
    </row>
    <row r="68" spans="2:6">
      <c r="B68" t="s">
        <v>178</v>
      </c>
      <c r="C68" t="s">
        <v>3177</v>
      </c>
      <c r="D68" t="s">
        <v>3592</v>
      </c>
      <c r="E68" t="s">
        <v>3989</v>
      </c>
      <c r="F68" t="s">
        <v>4365</v>
      </c>
    </row>
    <row r="69" spans="2:6">
      <c r="B69" t="s">
        <v>461</v>
      </c>
      <c r="C69" t="s">
        <v>3243</v>
      </c>
      <c r="D69" t="s">
        <v>3658</v>
      </c>
      <c r="E69" t="s">
        <v>4054</v>
      </c>
      <c r="F69" t="s">
        <v>4423</v>
      </c>
    </row>
    <row r="70" spans="2:6">
      <c r="B70" t="s">
        <v>200</v>
      </c>
      <c r="C70" t="s">
        <v>3038</v>
      </c>
      <c r="D70" t="s">
        <v>2406</v>
      </c>
      <c r="E70" t="s">
        <v>1388</v>
      </c>
      <c r="F70" t="s">
        <v>3461</v>
      </c>
    </row>
    <row r="71" spans="2:6">
      <c r="B71" t="s">
        <v>457</v>
      </c>
      <c r="C71" t="s">
        <v>3171</v>
      </c>
      <c r="D71" t="s">
        <v>3586</v>
      </c>
      <c r="E71" t="s">
        <v>3984</v>
      </c>
      <c r="F71" t="s">
        <v>4359</v>
      </c>
    </row>
    <row r="72" spans="2:6">
      <c r="B72" t="s">
        <v>275</v>
      </c>
      <c r="C72" t="s">
        <v>3023</v>
      </c>
      <c r="D72" t="s">
        <v>3455</v>
      </c>
      <c r="E72" t="s">
        <v>3870</v>
      </c>
      <c r="F72" t="s">
        <v>854</v>
      </c>
    </row>
    <row r="73" spans="2:6">
      <c r="B73" t="s">
        <v>400</v>
      </c>
      <c r="C73" t="s">
        <v>3108</v>
      </c>
      <c r="D73" t="s">
        <v>3525</v>
      </c>
      <c r="E73" t="s">
        <v>3925</v>
      </c>
      <c r="F73" t="s">
        <v>4305</v>
      </c>
    </row>
    <row r="74" spans="2:6">
      <c r="B74" t="s">
        <v>67</v>
      </c>
      <c r="C74" t="s">
        <v>3123</v>
      </c>
      <c r="D74" t="s">
        <v>3540</v>
      </c>
      <c r="E74" t="s">
        <v>3938</v>
      </c>
      <c r="F74" t="s">
        <v>4317</v>
      </c>
    </row>
    <row r="75" spans="2:6">
      <c r="B75" t="s">
        <v>212</v>
      </c>
      <c r="C75" t="s">
        <v>3022</v>
      </c>
      <c r="D75" t="s">
        <v>3016</v>
      </c>
      <c r="E75" t="s">
        <v>3869</v>
      </c>
      <c r="F75" t="s">
        <v>3443</v>
      </c>
    </row>
    <row r="76" spans="2:6">
      <c r="B76" t="s">
        <v>345</v>
      </c>
      <c r="C76" t="s">
        <v>871</v>
      </c>
      <c r="D76" t="s">
        <v>868</v>
      </c>
      <c r="E76" t="s">
        <v>3885</v>
      </c>
      <c r="F76" t="s">
        <v>1947</v>
      </c>
    </row>
    <row r="77" spans="2:6">
      <c r="B77" t="s">
        <v>244</v>
      </c>
      <c r="C77" t="s">
        <v>2948</v>
      </c>
      <c r="D77" t="s">
        <v>3396</v>
      </c>
      <c r="E77" t="s">
        <v>2953</v>
      </c>
      <c r="F77" t="s">
        <v>2946</v>
      </c>
    </row>
    <row r="78" spans="2:6">
      <c r="B78" t="s">
        <v>496</v>
      </c>
      <c r="C78" t="s">
        <v>3174</v>
      </c>
      <c r="D78" t="s">
        <v>3589</v>
      </c>
      <c r="E78" t="s">
        <v>3987</v>
      </c>
      <c r="F78" t="s">
        <v>4362</v>
      </c>
    </row>
    <row r="79" spans="2:6">
      <c r="B79" t="s">
        <v>39</v>
      </c>
      <c r="C79" t="s">
        <v>3083</v>
      </c>
      <c r="D79" t="s">
        <v>3504</v>
      </c>
      <c r="E79" t="s">
        <v>3096</v>
      </c>
      <c r="F79" t="s">
        <v>4287</v>
      </c>
    </row>
    <row r="80" spans="2:6">
      <c r="B80" t="s">
        <v>52</v>
      </c>
      <c r="C80" t="s">
        <v>3289</v>
      </c>
      <c r="D80" t="s">
        <v>3707</v>
      </c>
      <c r="E80" t="s">
        <v>4100</v>
      </c>
      <c r="F80" t="s">
        <v>4468</v>
      </c>
    </row>
    <row r="81" spans="2:6">
      <c r="B81" t="s">
        <v>134</v>
      </c>
      <c r="C81" t="s">
        <v>3010</v>
      </c>
      <c r="D81" t="s">
        <v>3443</v>
      </c>
      <c r="E81" t="s">
        <v>3858</v>
      </c>
      <c r="F81" t="s">
        <v>4247</v>
      </c>
    </row>
    <row r="82" spans="2:6">
      <c r="B82" t="s">
        <v>259</v>
      </c>
      <c r="C82" t="s">
        <v>1395</v>
      </c>
      <c r="D82" t="s">
        <v>3460</v>
      </c>
      <c r="E82" t="s">
        <v>1380</v>
      </c>
      <c r="F82" t="s">
        <v>2979</v>
      </c>
    </row>
    <row r="83" spans="2:6">
      <c r="B83" t="s">
        <v>32</v>
      </c>
      <c r="C83" t="s">
        <v>2910</v>
      </c>
      <c r="D83" t="s">
        <v>3363</v>
      </c>
      <c r="E83" t="s">
        <v>3782</v>
      </c>
      <c r="F83" t="s">
        <v>4161</v>
      </c>
    </row>
    <row r="84" spans="2:6">
      <c r="B84" t="s">
        <v>276</v>
      </c>
      <c r="C84" t="s">
        <v>3071</v>
      </c>
      <c r="D84" t="s">
        <v>3494</v>
      </c>
      <c r="E84" t="s">
        <v>3898</v>
      </c>
      <c r="F84" t="s">
        <v>4278</v>
      </c>
    </row>
    <row r="85" spans="2:6">
      <c r="B85" t="s">
        <v>273</v>
      </c>
      <c r="C85" t="s">
        <v>3008</v>
      </c>
      <c r="D85" t="s">
        <v>3002</v>
      </c>
      <c r="E85" t="s">
        <v>2861</v>
      </c>
      <c r="F85" t="s">
        <v>4246</v>
      </c>
    </row>
    <row r="86" spans="2:6">
      <c r="B86" t="s">
        <v>449</v>
      </c>
      <c r="C86" t="s">
        <v>3231</v>
      </c>
      <c r="D86" t="s">
        <v>3645</v>
      </c>
      <c r="E86" t="s">
        <v>4042</v>
      </c>
      <c r="F86" t="s">
        <v>4413</v>
      </c>
    </row>
    <row r="87" spans="2:6">
      <c r="B87" t="s">
        <v>106</v>
      </c>
      <c r="C87" t="s">
        <v>3070</v>
      </c>
      <c r="D87" t="s">
        <v>3493</v>
      </c>
      <c r="E87" t="s">
        <v>3897</v>
      </c>
      <c r="F87" t="s">
        <v>4277</v>
      </c>
    </row>
    <row r="88" spans="2:6">
      <c r="B88" t="s">
        <v>8</v>
      </c>
      <c r="C88" t="s">
        <v>3258</v>
      </c>
      <c r="D88" t="s">
        <v>3677</v>
      </c>
      <c r="E88" t="s">
        <v>4072</v>
      </c>
      <c r="F88" t="s">
        <v>4441</v>
      </c>
    </row>
    <row r="89" spans="2:6">
      <c r="B89" t="s">
        <v>2</v>
      </c>
      <c r="C89" t="s">
        <v>3254</v>
      </c>
      <c r="D89" t="s">
        <v>3669</v>
      </c>
      <c r="E89" t="s">
        <v>4063</v>
      </c>
      <c r="F89" t="s">
        <v>3669</v>
      </c>
    </row>
    <row r="90" spans="2:6">
      <c r="B90" t="s">
        <v>42</v>
      </c>
      <c r="C90" t="s">
        <v>2883</v>
      </c>
      <c r="D90" t="s">
        <v>3336</v>
      </c>
      <c r="E90" t="s">
        <v>3754</v>
      </c>
      <c r="F90" t="s">
        <v>4145</v>
      </c>
    </row>
    <row r="91" spans="2:6">
      <c r="B91" t="s">
        <v>247</v>
      </c>
      <c r="C91" t="s">
        <v>2975</v>
      </c>
      <c r="D91" t="s">
        <v>3415</v>
      </c>
      <c r="E91" t="s">
        <v>1379</v>
      </c>
      <c r="F91" t="s">
        <v>2974</v>
      </c>
    </row>
    <row r="92" spans="2:6">
      <c r="B92" t="s">
        <v>381</v>
      </c>
      <c r="C92" t="s">
        <v>3135</v>
      </c>
      <c r="D92" t="s">
        <v>3552</v>
      </c>
      <c r="E92" t="s">
        <v>3950</v>
      </c>
      <c r="F92" t="s">
        <v>4328</v>
      </c>
    </row>
    <row r="93" spans="2:6">
      <c r="B93" t="s">
        <v>450</v>
      </c>
      <c r="C93" t="s">
        <v>3191</v>
      </c>
      <c r="D93" t="s">
        <v>3603</v>
      </c>
      <c r="E93" t="s">
        <v>4001</v>
      </c>
      <c r="F93" t="s">
        <v>4376</v>
      </c>
    </row>
    <row r="94" spans="2:6">
      <c r="B94" t="s">
        <v>371</v>
      </c>
      <c r="C94" t="s">
        <v>3163</v>
      </c>
      <c r="D94" t="s">
        <v>3578</v>
      </c>
      <c r="E94" t="s">
        <v>3976</v>
      </c>
      <c r="F94" t="s">
        <v>4352</v>
      </c>
    </row>
    <row r="95" spans="2:6">
      <c r="B95" t="s">
        <v>471</v>
      </c>
      <c r="C95" t="s">
        <v>3234</v>
      </c>
      <c r="D95" t="s">
        <v>3649</v>
      </c>
      <c r="E95" t="s">
        <v>4046</v>
      </c>
      <c r="F95" t="s">
        <v>4417</v>
      </c>
    </row>
    <row r="96" spans="2:6">
      <c r="B96" t="s">
        <v>492</v>
      </c>
      <c r="C96" t="s">
        <v>874</v>
      </c>
      <c r="D96" t="s">
        <v>1435</v>
      </c>
      <c r="E96" t="s">
        <v>3057</v>
      </c>
      <c r="F96" t="s">
        <v>3056</v>
      </c>
    </row>
    <row r="97" spans="2:6">
      <c r="B97" t="s">
        <v>343</v>
      </c>
      <c r="C97" t="s">
        <v>3267</v>
      </c>
      <c r="D97" t="s">
        <v>3685</v>
      </c>
      <c r="E97" t="s">
        <v>4078</v>
      </c>
      <c r="F97" t="s">
        <v>4446</v>
      </c>
    </row>
    <row r="98" spans="2:6">
      <c r="B98" t="s">
        <v>96</v>
      </c>
      <c r="C98" t="s">
        <v>3035</v>
      </c>
      <c r="D98" t="s">
        <v>2399</v>
      </c>
      <c r="E98" t="s">
        <v>3879</v>
      </c>
      <c r="F98" t="s">
        <v>3040</v>
      </c>
    </row>
    <row r="99" spans="2:6">
      <c r="B99" t="s">
        <v>127</v>
      </c>
      <c r="C99" t="s">
        <v>2984</v>
      </c>
      <c r="D99" t="s">
        <v>3424</v>
      </c>
      <c r="E99" t="s">
        <v>3840</v>
      </c>
      <c r="F99" t="s">
        <v>4230</v>
      </c>
    </row>
    <row r="100" spans="2:6">
      <c r="B100" t="s">
        <v>191</v>
      </c>
      <c r="C100" t="s">
        <v>3033</v>
      </c>
      <c r="D100" t="s">
        <v>3465</v>
      </c>
      <c r="E100" t="s">
        <v>3878</v>
      </c>
      <c r="F100" t="s">
        <v>3878</v>
      </c>
    </row>
    <row r="101" spans="2:6">
      <c r="B101" t="s">
        <v>187</v>
      </c>
      <c r="C101" t="s">
        <v>2947</v>
      </c>
      <c r="D101" t="s">
        <v>3395</v>
      </c>
      <c r="E101" t="s">
        <v>3813</v>
      </c>
      <c r="F101" t="s">
        <v>4202</v>
      </c>
    </row>
    <row r="102" spans="2:6">
      <c r="B102" t="s">
        <v>136</v>
      </c>
      <c r="C102" t="s">
        <v>1417</v>
      </c>
      <c r="D102" t="s">
        <v>3476</v>
      </c>
      <c r="E102" t="s">
        <v>2869</v>
      </c>
      <c r="F102" t="s">
        <v>4267</v>
      </c>
    </row>
    <row r="103" spans="2:6">
      <c r="B103" t="s">
        <v>406</v>
      </c>
      <c r="C103" t="s">
        <v>3320</v>
      </c>
      <c r="D103" t="s">
        <v>3738</v>
      </c>
      <c r="E103" t="s">
        <v>4131</v>
      </c>
      <c r="F103" t="s">
        <v>4497</v>
      </c>
    </row>
    <row r="104" spans="2:6">
      <c r="B104" t="s">
        <v>220</v>
      </c>
      <c r="C104" t="s">
        <v>3120</v>
      </c>
      <c r="D104" t="s">
        <v>3537</v>
      </c>
      <c r="E104" t="s">
        <v>3935</v>
      </c>
      <c r="F104" t="s">
        <v>4314</v>
      </c>
    </row>
    <row r="105" spans="2:6">
      <c r="B105" t="s">
        <v>35</v>
      </c>
      <c r="C105" t="s">
        <v>1774</v>
      </c>
      <c r="D105" t="s">
        <v>3674</v>
      </c>
      <c r="E105" t="s">
        <v>4069</v>
      </c>
      <c r="F105" t="s">
        <v>4438</v>
      </c>
    </row>
    <row r="106" spans="2:6">
      <c r="B106" t="s">
        <v>95</v>
      </c>
      <c r="C106" t="s">
        <v>2897</v>
      </c>
      <c r="D106" t="s">
        <v>3349</v>
      </c>
      <c r="E106" t="s">
        <v>3768</v>
      </c>
      <c r="F106" t="s">
        <v>4157</v>
      </c>
    </row>
    <row r="107" spans="2:6">
      <c r="B107" t="s">
        <v>109</v>
      </c>
      <c r="C107" t="s">
        <v>3130</v>
      </c>
      <c r="D107" t="s">
        <v>3547</v>
      </c>
      <c r="E107" t="s">
        <v>3945</v>
      </c>
      <c r="F107" t="s">
        <v>4324</v>
      </c>
    </row>
    <row r="108" spans="2:6">
      <c r="B108" t="s">
        <v>447</v>
      </c>
      <c r="C108" t="s">
        <v>3193</v>
      </c>
      <c r="D108" t="s">
        <v>3605</v>
      </c>
      <c r="E108" t="s">
        <v>4003</v>
      </c>
      <c r="F108" t="s">
        <v>4378</v>
      </c>
    </row>
    <row r="109" spans="2:6">
      <c r="B109" t="s">
        <v>77</v>
      </c>
      <c r="C109" t="s">
        <v>2889</v>
      </c>
      <c r="D109" t="s">
        <v>3341</v>
      </c>
      <c r="E109" t="s">
        <v>3760</v>
      </c>
      <c r="F109" t="s">
        <v>4151</v>
      </c>
    </row>
    <row r="110" spans="2:6">
      <c r="B110" t="s">
        <v>434</v>
      </c>
      <c r="C110" t="s">
        <v>2425</v>
      </c>
      <c r="D110" t="s">
        <v>870</v>
      </c>
      <c r="E110" t="s">
        <v>3886</v>
      </c>
      <c r="F110" t="s">
        <v>3478</v>
      </c>
    </row>
    <row r="111" spans="2:6">
      <c r="B111" t="s">
        <v>396</v>
      </c>
      <c r="C111" t="s">
        <v>3013</v>
      </c>
      <c r="D111" t="s">
        <v>1392</v>
      </c>
      <c r="E111" t="s">
        <v>3862</v>
      </c>
      <c r="F111" t="s">
        <v>2992</v>
      </c>
    </row>
    <row r="112" spans="2:6">
      <c r="B112" t="s">
        <v>265</v>
      </c>
      <c r="C112" t="s">
        <v>3096</v>
      </c>
      <c r="D112" t="s">
        <v>3516</v>
      </c>
      <c r="E112" t="s">
        <v>3916</v>
      </c>
      <c r="F112" t="s">
        <v>4297</v>
      </c>
    </row>
    <row r="113" spans="2:6">
      <c r="B113" t="s">
        <v>235</v>
      </c>
      <c r="C113" t="s">
        <v>2942</v>
      </c>
      <c r="D113" t="s">
        <v>3391</v>
      </c>
      <c r="E113" t="s">
        <v>3809</v>
      </c>
      <c r="F113" t="s">
        <v>4197</v>
      </c>
    </row>
    <row r="114" spans="2:6">
      <c r="B114" t="s">
        <v>338</v>
      </c>
      <c r="C114" t="s">
        <v>3086</v>
      </c>
      <c r="D114" t="s">
        <v>3507</v>
      </c>
      <c r="E114" t="s">
        <v>3908</v>
      </c>
      <c r="F114" t="s">
        <v>4290</v>
      </c>
    </row>
    <row r="115" spans="2:6">
      <c r="B115" t="s">
        <v>407</v>
      </c>
      <c r="C115" t="s">
        <v>3298</v>
      </c>
      <c r="D115" t="s">
        <v>3716</v>
      </c>
      <c r="E115" t="s">
        <v>4109</v>
      </c>
      <c r="F115" t="s">
        <v>4477</v>
      </c>
    </row>
    <row r="116" spans="2:6">
      <c r="B116" t="s">
        <v>129</v>
      </c>
      <c r="C116" t="s">
        <v>2995</v>
      </c>
      <c r="D116" t="s">
        <v>3420</v>
      </c>
      <c r="E116" t="s">
        <v>3849</v>
      </c>
      <c r="F116" t="s">
        <v>3839</v>
      </c>
    </row>
    <row r="117" spans="2:6">
      <c r="B117" t="s">
        <v>188</v>
      </c>
      <c r="C117" t="s">
        <v>3101</v>
      </c>
      <c r="D117" t="s">
        <v>3518</v>
      </c>
      <c r="E117" t="s">
        <v>3919</v>
      </c>
      <c r="F117" t="s">
        <v>4299</v>
      </c>
    </row>
    <row r="118" spans="2:6">
      <c r="B118" t="s">
        <v>382</v>
      </c>
      <c r="C118" t="s">
        <v>3154</v>
      </c>
      <c r="D118" t="s">
        <v>3571</v>
      </c>
      <c r="E118" t="s">
        <v>3969</v>
      </c>
      <c r="F118" t="s">
        <v>4347</v>
      </c>
    </row>
    <row r="119" spans="2:6">
      <c r="B119" t="s">
        <v>368</v>
      </c>
      <c r="C119" t="s">
        <v>3198</v>
      </c>
      <c r="D119" t="s">
        <v>3610</v>
      </c>
      <c r="E119" t="s">
        <v>4008</v>
      </c>
      <c r="F119" t="s">
        <v>4383</v>
      </c>
    </row>
    <row r="120" spans="2:6">
      <c r="B120" t="s">
        <v>121</v>
      </c>
      <c r="C120" t="s">
        <v>2999</v>
      </c>
      <c r="D120" t="s">
        <v>3435</v>
      </c>
      <c r="E120" t="s">
        <v>2997</v>
      </c>
      <c r="F120" t="s">
        <v>2997</v>
      </c>
    </row>
    <row r="121" spans="2:6">
      <c r="B121" t="s">
        <v>501</v>
      </c>
      <c r="C121" t="s">
        <v>3156</v>
      </c>
      <c r="D121" t="s">
        <v>3573</v>
      </c>
      <c r="E121" t="s">
        <v>3971</v>
      </c>
      <c r="F121" t="s">
        <v>4349</v>
      </c>
    </row>
    <row r="122" spans="2:6">
      <c r="B122" t="s">
        <v>468</v>
      </c>
      <c r="C122" t="s">
        <v>3251</v>
      </c>
      <c r="D122" t="s">
        <v>3666</v>
      </c>
      <c r="E122" t="s">
        <v>4061</v>
      </c>
      <c r="F122" t="s">
        <v>4431</v>
      </c>
    </row>
    <row r="123" spans="2:6">
      <c r="B123" t="s">
        <v>3</v>
      </c>
      <c r="C123" t="s">
        <v>3276</v>
      </c>
      <c r="D123" t="s">
        <v>3694</v>
      </c>
      <c r="E123" t="s">
        <v>4087</v>
      </c>
      <c r="F123" t="s">
        <v>4455</v>
      </c>
    </row>
    <row r="124" spans="2:6">
      <c r="B124" t="s">
        <v>458</v>
      </c>
      <c r="C124" t="s">
        <v>3246</v>
      </c>
      <c r="D124" t="s">
        <v>3661</v>
      </c>
      <c r="E124" t="s">
        <v>4057</v>
      </c>
      <c r="F124" t="s">
        <v>4426</v>
      </c>
    </row>
    <row r="125" spans="2:6">
      <c r="B125" t="s">
        <v>219</v>
      </c>
      <c r="C125" t="s">
        <v>3044</v>
      </c>
      <c r="D125" t="s">
        <v>3473</v>
      </c>
      <c r="E125" t="s">
        <v>2404</v>
      </c>
      <c r="F125" t="s">
        <v>4264</v>
      </c>
    </row>
    <row r="126" spans="2:6">
      <c r="B126" t="s">
        <v>252</v>
      </c>
      <c r="C126" t="s">
        <v>2410</v>
      </c>
      <c r="D126" t="s">
        <v>3051</v>
      </c>
      <c r="E126" t="s">
        <v>3474</v>
      </c>
      <c r="F126" t="s">
        <v>3048</v>
      </c>
    </row>
    <row r="127" spans="2:6">
      <c r="B127" t="s">
        <v>12</v>
      </c>
      <c r="C127" t="s">
        <v>3262</v>
      </c>
      <c r="D127" t="s">
        <v>3680</v>
      </c>
      <c r="E127" t="s">
        <v>1768</v>
      </c>
      <c r="F127" t="s">
        <v>1768</v>
      </c>
    </row>
    <row r="128" spans="2:6">
      <c r="B128" t="s">
        <v>415</v>
      </c>
      <c r="C128" t="s">
        <v>3116</v>
      </c>
      <c r="D128" t="s">
        <v>3533</v>
      </c>
      <c r="E128" t="s">
        <v>3932</v>
      </c>
      <c r="F128" t="s">
        <v>4312</v>
      </c>
    </row>
    <row r="129" spans="2:6">
      <c r="B129" t="s">
        <v>370</v>
      </c>
      <c r="C129" t="s">
        <v>3201</v>
      </c>
      <c r="D129" t="s">
        <v>3613</v>
      </c>
      <c r="E129" t="s">
        <v>4011</v>
      </c>
      <c r="F129" t="s">
        <v>4385</v>
      </c>
    </row>
    <row r="130" spans="2:6">
      <c r="B130" t="s">
        <v>163</v>
      </c>
      <c r="C130" t="s">
        <v>3143</v>
      </c>
      <c r="D130" t="s">
        <v>3560</v>
      </c>
      <c r="E130" t="s">
        <v>3958</v>
      </c>
      <c r="F130" t="s">
        <v>4336</v>
      </c>
    </row>
    <row r="131" spans="2:6">
      <c r="B131" t="s">
        <v>261</v>
      </c>
      <c r="C131" t="s">
        <v>2941</v>
      </c>
      <c r="D131" t="s">
        <v>3390</v>
      </c>
      <c r="E131" t="s">
        <v>3808</v>
      </c>
      <c r="F131" t="s">
        <v>4196</v>
      </c>
    </row>
    <row r="132" spans="2:6">
      <c r="B132" t="s">
        <v>439</v>
      </c>
      <c r="C132" t="s">
        <v>3204</v>
      </c>
      <c r="D132" t="s">
        <v>3616</v>
      </c>
      <c r="E132" t="s">
        <v>4013</v>
      </c>
      <c r="F132" t="s">
        <v>4387</v>
      </c>
    </row>
    <row r="133" spans="2:6">
      <c r="B133" t="s">
        <v>436</v>
      </c>
      <c r="C133" t="s">
        <v>3015</v>
      </c>
      <c r="D133" t="s">
        <v>3448</v>
      </c>
      <c r="E133" t="s">
        <v>1893</v>
      </c>
      <c r="F133" t="s">
        <v>4227</v>
      </c>
    </row>
    <row r="134" spans="2:6">
      <c r="B134" t="s">
        <v>412</v>
      </c>
      <c r="C134" t="s">
        <v>3257</v>
      </c>
      <c r="D134" t="s">
        <v>3673</v>
      </c>
      <c r="E134" t="s">
        <v>4067</v>
      </c>
      <c r="F134" t="s">
        <v>1126</v>
      </c>
    </row>
    <row r="135" spans="2:6">
      <c r="B135" t="s">
        <v>826</v>
      </c>
      <c r="C135" t="s">
        <v>3248</v>
      </c>
      <c r="D135" t="s">
        <v>3663</v>
      </c>
      <c r="E135" t="s">
        <v>4059</v>
      </c>
      <c r="F135" t="s">
        <v>4428</v>
      </c>
    </row>
    <row r="136" spans="2:6">
      <c r="B136" t="s">
        <v>372</v>
      </c>
      <c r="C136" t="s">
        <v>2581</v>
      </c>
      <c r="D136" t="s">
        <v>3628</v>
      </c>
      <c r="E136" t="s">
        <v>4025</v>
      </c>
      <c r="F136" t="s">
        <v>1441</v>
      </c>
    </row>
    <row r="137" spans="2:6">
      <c r="B137" t="s">
        <v>454</v>
      </c>
      <c r="C137" t="s">
        <v>3179</v>
      </c>
      <c r="D137" t="s">
        <v>1903</v>
      </c>
      <c r="E137" t="s">
        <v>3053</v>
      </c>
      <c r="F137" t="s">
        <v>4265</v>
      </c>
    </row>
    <row r="138" spans="2:6">
      <c r="B138" t="s">
        <v>206</v>
      </c>
      <c r="C138" t="s">
        <v>3037</v>
      </c>
      <c r="D138" t="s">
        <v>1388</v>
      </c>
      <c r="E138" t="s">
        <v>1442</v>
      </c>
      <c r="F138" t="s">
        <v>1899</v>
      </c>
    </row>
    <row r="139" spans="2:6">
      <c r="B139" t="s">
        <v>293</v>
      </c>
      <c r="C139" t="s">
        <v>2961</v>
      </c>
      <c r="D139" t="s">
        <v>3406</v>
      </c>
      <c r="E139" t="s">
        <v>3821</v>
      </c>
      <c r="F139" t="s">
        <v>4213</v>
      </c>
    </row>
    <row r="140" spans="2:6">
      <c r="B140" t="s">
        <v>324</v>
      </c>
      <c r="C140" t="s">
        <v>3172</v>
      </c>
      <c r="D140" t="s">
        <v>3587</v>
      </c>
      <c r="E140" t="s">
        <v>3985</v>
      </c>
      <c r="F140" t="s">
        <v>4360</v>
      </c>
    </row>
    <row r="141" spans="2:6">
      <c r="B141" t="s">
        <v>422</v>
      </c>
      <c r="C141" t="s">
        <v>3148</v>
      </c>
      <c r="D141" t="s">
        <v>3565</v>
      </c>
      <c r="E141" t="s">
        <v>3963</v>
      </c>
      <c r="F141" t="s">
        <v>4341</v>
      </c>
    </row>
    <row r="142" spans="2:6">
      <c r="B142" t="s">
        <v>386</v>
      </c>
      <c r="C142" t="s">
        <v>2931</v>
      </c>
      <c r="D142" t="s">
        <v>3381</v>
      </c>
      <c r="E142" t="s">
        <v>3800</v>
      </c>
      <c r="F142" t="s">
        <v>4190</v>
      </c>
    </row>
    <row r="143" spans="2:6">
      <c r="B143" t="s">
        <v>493</v>
      </c>
      <c r="C143" t="s">
        <v>3035</v>
      </c>
      <c r="D143" t="s">
        <v>1441</v>
      </c>
      <c r="E143" t="s">
        <v>3041</v>
      </c>
      <c r="F143" t="s">
        <v>4259</v>
      </c>
    </row>
    <row r="144" spans="2:6">
      <c r="B144" t="s">
        <v>151</v>
      </c>
      <c r="C144" t="s">
        <v>1393</v>
      </c>
      <c r="D144" t="s">
        <v>3046</v>
      </c>
      <c r="E144" t="s">
        <v>3053</v>
      </c>
      <c r="F144" t="s">
        <v>1413</v>
      </c>
    </row>
    <row r="145" spans="2:6">
      <c r="B145" t="s">
        <v>17</v>
      </c>
      <c r="C145" t="s">
        <v>2912</v>
      </c>
      <c r="D145" t="s">
        <v>3365</v>
      </c>
      <c r="E145" t="s">
        <v>3784</v>
      </c>
      <c r="F145" t="s">
        <v>4171</v>
      </c>
    </row>
    <row r="146" spans="2:6">
      <c r="B146" t="s">
        <v>459</v>
      </c>
      <c r="C146" t="s">
        <v>3166</v>
      </c>
      <c r="D146" t="s">
        <v>3581</v>
      </c>
      <c r="E146" t="s">
        <v>3979</v>
      </c>
      <c r="F146" t="s">
        <v>4355</v>
      </c>
    </row>
    <row r="147" spans="2:6">
      <c r="B147" t="s">
        <v>295</v>
      </c>
      <c r="C147" t="s">
        <v>3146</v>
      </c>
      <c r="D147" t="s">
        <v>3563</v>
      </c>
      <c r="E147" t="s">
        <v>3961</v>
      </c>
      <c r="F147" t="s">
        <v>4339</v>
      </c>
    </row>
    <row r="148" spans="2:6">
      <c r="B148" t="s">
        <v>182</v>
      </c>
      <c r="C148" t="s">
        <v>3082</v>
      </c>
      <c r="D148" t="s">
        <v>3503</v>
      </c>
      <c r="E148" t="s">
        <v>3905</v>
      </c>
      <c r="F148" t="s">
        <v>4286</v>
      </c>
    </row>
    <row r="149" spans="2:6">
      <c r="B149" t="s">
        <v>815</v>
      </c>
      <c r="C149" t="s">
        <v>2903</v>
      </c>
      <c r="D149" t="s">
        <v>3355</v>
      </c>
      <c r="E149" t="s">
        <v>3774</v>
      </c>
      <c r="F149" t="s">
        <v>4162</v>
      </c>
    </row>
    <row r="150" spans="2:6">
      <c r="B150" t="s">
        <v>201</v>
      </c>
      <c r="C150" t="s">
        <v>3033</v>
      </c>
      <c r="D150" t="s">
        <v>3464</v>
      </c>
      <c r="E150" t="s">
        <v>2406</v>
      </c>
      <c r="F150" t="s">
        <v>3467</v>
      </c>
    </row>
    <row r="151" spans="2:6">
      <c r="B151" t="s">
        <v>482</v>
      </c>
      <c r="C151" t="s">
        <v>3141</v>
      </c>
      <c r="D151" t="s">
        <v>3558</v>
      </c>
      <c r="E151" t="s">
        <v>3956</v>
      </c>
      <c r="F151" t="s">
        <v>4334</v>
      </c>
    </row>
    <row r="152" spans="2:6">
      <c r="B152" t="s">
        <v>419</v>
      </c>
      <c r="C152" t="s">
        <v>2952</v>
      </c>
      <c r="D152" t="s">
        <v>3400</v>
      </c>
      <c r="E152" t="s">
        <v>3816</v>
      </c>
      <c r="F152" t="s">
        <v>4206</v>
      </c>
    </row>
    <row r="153" spans="2:6">
      <c r="B153" t="s">
        <v>452</v>
      </c>
      <c r="C153" t="s">
        <v>3255</v>
      </c>
      <c r="D153" t="s">
        <v>3670</v>
      </c>
      <c r="E153" t="s">
        <v>4065</v>
      </c>
      <c r="F153" t="s">
        <v>4434</v>
      </c>
    </row>
    <row r="154" spans="2:6">
      <c r="B154" t="s">
        <v>13</v>
      </c>
      <c r="C154" t="s">
        <v>2946</v>
      </c>
      <c r="D154" t="s">
        <v>3394</v>
      </c>
      <c r="E154" t="s">
        <v>3812</v>
      </c>
      <c r="F154" t="s">
        <v>4201</v>
      </c>
    </row>
    <row r="155" spans="2:6">
      <c r="B155" t="s">
        <v>303</v>
      </c>
      <c r="C155" t="s">
        <v>3317</v>
      </c>
      <c r="D155" t="s">
        <v>3735</v>
      </c>
      <c r="E155" t="s">
        <v>4128</v>
      </c>
      <c r="F155" t="s">
        <v>4494</v>
      </c>
    </row>
    <row r="156" spans="2:6">
      <c r="B156" t="s">
        <v>443</v>
      </c>
      <c r="C156" t="s">
        <v>3238</v>
      </c>
      <c r="D156" t="s">
        <v>3653</v>
      </c>
      <c r="E156" t="s">
        <v>4050</v>
      </c>
      <c r="F156" t="s">
        <v>2535</v>
      </c>
    </row>
    <row r="157" spans="2:6">
      <c r="B157" t="s">
        <v>335</v>
      </c>
      <c r="C157" t="s">
        <v>3170</v>
      </c>
      <c r="D157" t="s">
        <v>3585</v>
      </c>
      <c r="E157" t="s">
        <v>3983</v>
      </c>
      <c r="F157" t="s">
        <v>4358</v>
      </c>
    </row>
    <row r="158" spans="2:6">
      <c r="B158" t="s">
        <v>305</v>
      </c>
      <c r="C158" t="s">
        <v>1903</v>
      </c>
      <c r="D158" t="s">
        <v>1389</v>
      </c>
      <c r="E158" t="s">
        <v>1441</v>
      </c>
      <c r="F158" t="s">
        <v>2403</v>
      </c>
    </row>
    <row r="159" spans="2:6">
      <c r="B159" t="s">
        <v>24</v>
      </c>
      <c r="C159" t="s">
        <v>2850</v>
      </c>
      <c r="D159" t="s">
        <v>3469</v>
      </c>
      <c r="E159" t="s">
        <v>3038</v>
      </c>
      <c r="F159" t="s">
        <v>3473</v>
      </c>
    </row>
    <row r="160" spans="2:6">
      <c r="B160" t="s">
        <v>421</v>
      </c>
      <c r="C160" t="s">
        <v>3318</v>
      </c>
      <c r="D160" t="s">
        <v>3736</v>
      </c>
      <c r="E160" t="s">
        <v>4129</v>
      </c>
      <c r="F160" t="s">
        <v>4495</v>
      </c>
    </row>
    <row r="161" spans="2:6">
      <c r="B161" t="s">
        <v>16</v>
      </c>
      <c r="C161" t="s">
        <v>2971</v>
      </c>
      <c r="D161" t="s">
        <v>3414</v>
      </c>
      <c r="E161" t="s">
        <v>3456</v>
      </c>
      <c r="F161" t="s">
        <v>3456</v>
      </c>
    </row>
    <row r="162" spans="2:6">
      <c r="B162" t="s">
        <v>142</v>
      </c>
      <c r="C162" t="s">
        <v>2856</v>
      </c>
      <c r="D162" t="s">
        <v>2427</v>
      </c>
      <c r="E162" t="s">
        <v>2411</v>
      </c>
      <c r="F162" t="s">
        <v>4251</v>
      </c>
    </row>
    <row r="163" spans="2:6">
      <c r="B163" t="s">
        <v>202</v>
      </c>
      <c r="C163" t="s">
        <v>2936</v>
      </c>
      <c r="D163" t="s">
        <v>3385</v>
      </c>
      <c r="E163" t="s">
        <v>3803</v>
      </c>
      <c r="F163" t="s">
        <v>4194</v>
      </c>
    </row>
    <row r="164" spans="2:6">
      <c r="B164" t="s">
        <v>279</v>
      </c>
      <c r="C164" t="s">
        <v>3018</v>
      </c>
      <c r="D164" t="s">
        <v>1378</v>
      </c>
      <c r="E164" t="s">
        <v>3007</v>
      </c>
      <c r="F164" t="s">
        <v>2396</v>
      </c>
    </row>
    <row r="165" spans="2:6">
      <c r="B165" t="s">
        <v>835</v>
      </c>
      <c r="C165" t="s">
        <v>2926</v>
      </c>
      <c r="D165" t="s">
        <v>3376</v>
      </c>
      <c r="E165" t="s">
        <v>3797</v>
      </c>
      <c r="F165" t="s">
        <v>4185</v>
      </c>
    </row>
    <row r="166" spans="2:6">
      <c r="B166" t="s">
        <v>143</v>
      </c>
      <c r="C166" t="s">
        <v>2934</v>
      </c>
      <c r="D166" t="s">
        <v>1390</v>
      </c>
      <c r="E166" t="s">
        <v>1899</v>
      </c>
      <c r="F166" t="s">
        <v>3034</v>
      </c>
    </row>
    <row r="167" spans="2:6">
      <c r="B167" t="s">
        <v>423</v>
      </c>
      <c r="C167" t="s">
        <v>3287</v>
      </c>
      <c r="D167" t="s">
        <v>3705</v>
      </c>
      <c r="E167" t="s">
        <v>4098</v>
      </c>
      <c r="F167" t="s">
        <v>4466</v>
      </c>
    </row>
    <row r="168" spans="2:6">
      <c r="B168" t="s">
        <v>832</v>
      </c>
      <c r="C168" t="s">
        <v>3161</v>
      </c>
      <c r="D168" t="s">
        <v>964</v>
      </c>
      <c r="E168" t="s">
        <v>3974</v>
      </c>
      <c r="F168" t="s">
        <v>4351</v>
      </c>
    </row>
    <row r="169" spans="2:6">
      <c r="B169" t="s">
        <v>229</v>
      </c>
      <c r="C169" t="s">
        <v>3072</v>
      </c>
      <c r="D169" t="s">
        <v>3495</v>
      </c>
      <c r="E169" t="s">
        <v>3899</v>
      </c>
      <c r="F169" t="s">
        <v>4279</v>
      </c>
    </row>
    <row r="170" spans="2:6">
      <c r="B170" t="s">
        <v>167</v>
      </c>
      <c r="C170" t="s">
        <v>3125</v>
      </c>
      <c r="D170" t="s">
        <v>3542</v>
      </c>
      <c r="E170" t="s">
        <v>3940</v>
      </c>
      <c r="F170" t="s">
        <v>4319</v>
      </c>
    </row>
    <row r="171" spans="2:6">
      <c r="B171" t="s">
        <v>76</v>
      </c>
      <c r="C171" t="s">
        <v>2909</v>
      </c>
      <c r="D171" t="s">
        <v>3362</v>
      </c>
      <c r="E171" t="s">
        <v>3781</v>
      </c>
      <c r="F171" t="s">
        <v>4169</v>
      </c>
    </row>
    <row r="172" spans="2:6">
      <c r="B172" t="s">
        <v>429</v>
      </c>
      <c r="C172" t="s">
        <v>3214</v>
      </c>
      <c r="D172" t="s">
        <v>3626</v>
      </c>
      <c r="E172" t="s">
        <v>4023</v>
      </c>
      <c r="F172" t="s">
        <v>4397</v>
      </c>
    </row>
    <row r="173" spans="2:6">
      <c r="B173" t="s">
        <v>393</v>
      </c>
      <c r="C173" t="s">
        <v>3316</v>
      </c>
      <c r="D173" t="s">
        <v>3734</v>
      </c>
      <c r="E173" t="s">
        <v>4127</v>
      </c>
      <c r="F173" t="s">
        <v>4493</v>
      </c>
    </row>
    <row r="174" spans="2:6">
      <c r="B174" t="s">
        <v>79</v>
      </c>
      <c r="C174" t="s">
        <v>3253</v>
      </c>
      <c r="D174" t="s">
        <v>3668</v>
      </c>
      <c r="E174" t="s">
        <v>4062</v>
      </c>
      <c r="F174" t="s">
        <v>4432</v>
      </c>
    </row>
    <row r="175" spans="2:6">
      <c r="B175" t="s">
        <v>484</v>
      </c>
      <c r="C175" t="s">
        <v>3273</v>
      </c>
      <c r="D175" t="s">
        <v>3691</v>
      </c>
      <c r="E175" t="s">
        <v>4084</v>
      </c>
      <c r="F175" t="s">
        <v>4452</v>
      </c>
    </row>
    <row r="176" spans="2:6">
      <c r="B176" t="s">
        <v>120</v>
      </c>
      <c r="C176" t="s">
        <v>1435</v>
      </c>
      <c r="D176" t="s">
        <v>870</v>
      </c>
      <c r="E176" t="s">
        <v>1417</v>
      </c>
      <c r="F176" t="s">
        <v>2411</v>
      </c>
    </row>
    <row r="177" spans="2:6">
      <c r="B177" t="s">
        <v>363</v>
      </c>
      <c r="C177" t="s">
        <v>3003</v>
      </c>
      <c r="D177" t="s">
        <v>850</v>
      </c>
      <c r="E177" t="s">
        <v>1893</v>
      </c>
      <c r="F177" t="s">
        <v>2973</v>
      </c>
    </row>
    <row r="178" spans="2:6">
      <c r="B178" t="s">
        <v>467</v>
      </c>
      <c r="C178" t="s">
        <v>3197</v>
      </c>
      <c r="D178" t="s">
        <v>3609</v>
      </c>
      <c r="E178" t="s">
        <v>4007</v>
      </c>
      <c r="F178" t="s">
        <v>4382</v>
      </c>
    </row>
    <row r="179" spans="2:6">
      <c r="B179" t="s">
        <v>254</v>
      </c>
      <c r="C179" t="s">
        <v>3085</v>
      </c>
      <c r="D179" t="s">
        <v>3506</v>
      </c>
      <c r="E179" t="s">
        <v>3907</v>
      </c>
      <c r="F179" t="s">
        <v>4289</v>
      </c>
    </row>
    <row r="180" spans="2:6">
      <c r="B180" t="s">
        <v>497</v>
      </c>
      <c r="C180" t="s">
        <v>3145</v>
      </c>
      <c r="D180" t="s">
        <v>3562</v>
      </c>
      <c r="E180" t="s">
        <v>3960</v>
      </c>
      <c r="F180" t="s">
        <v>4338</v>
      </c>
    </row>
    <row r="181" spans="2:6">
      <c r="B181" t="s">
        <v>811</v>
      </c>
      <c r="C181" t="s">
        <v>2895</v>
      </c>
      <c r="D181" t="s">
        <v>3347</v>
      </c>
      <c r="E181" t="s">
        <v>3766</v>
      </c>
      <c r="F181" t="s">
        <v>2887</v>
      </c>
    </row>
    <row r="182" spans="2:6">
      <c r="B182" t="s">
        <v>383</v>
      </c>
      <c r="C182" t="s">
        <v>3212</v>
      </c>
      <c r="D182" t="s">
        <v>3624</v>
      </c>
      <c r="E182" t="s">
        <v>4021</v>
      </c>
      <c r="F182" t="s">
        <v>4395</v>
      </c>
    </row>
    <row r="183" spans="2:6">
      <c r="B183" t="s">
        <v>114</v>
      </c>
      <c r="C183" t="s">
        <v>3093</v>
      </c>
      <c r="D183" t="s">
        <v>3513</v>
      </c>
      <c r="E183" t="s">
        <v>3913</v>
      </c>
      <c r="F183" t="s">
        <v>4294</v>
      </c>
    </row>
    <row r="184" spans="2:6">
      <c r="B184" t="s">
        <v>387</v>
      </c>
      <c r="C184" t="s">
        <v>3278</v>
      </c>
      <c r="D184" t="s">
        <v>3696</v>
      </c>
      <c r="E184" t="s">
        <v>4089</v>
      </c>
      <c r="F184" t="s">
        <v>4457</v>
      </c>
    </row>
    <row r="185" spans="2:6">
      <c r="B185" t="s">
        <v>384</v>
      </c>
      <c r="C185" t="s">
        <v>3151</v>
      </c>
      <c r="D185" t="s">
        <v>3568</v>
      </c>
      <c r="E185" t="s">
        <v>3966</v>
      </c>
      <c r="F185" t="s">
        <v>4344</v>
      </c>
    </row>
    <row r="186" spans="2:6">
      <c r="B186" t="s">
        <v>138</v>
      </c>
      <c r="C186" t="s">
        <v>3024</v>
      </c>
      <c r="D186" t="s">
        <v>3457</v>
      </c>
      <c r="E186" t="s">
        <v>3871</v>
      </c>
      <c r="F186" t="s">
        <v>3871</v>
      </c>
    </row>
    <row r="187" spans="2:6">
      <c r="B187" t="s">
        <v>413</v>
      </c>
      <c r="C187" t="s">
        <v>3307</v>
      </c>
      <c r="D187" t="s">
        <v>3725</v>
      </c>
      <c r="E187" t="s">
        <v>4118</v>
      </c>
      <c r="F187" t="s">
        <v>4486</v>
      </c>
    </row>
    <row r="188" spans="2:6">
      <c r="B188" t="s">
        <v>399</v>
      </c>
      <c r="C188" t="s">
        <v>3053</v>
      </c>
      <c r="D188" t="s">
        <v>869</v>
      </c>
      <c r="E188" t="s">
        <v>868</v>
      </c>
      <c r="F188" t="s">
        <v>1389</v>
      </c>
    </row>
    <row r="189" spans="2:6">
      <c r="B189" t="s">
        <v>64</v>
      </c>
      <c r="C189" t="s">
        <v>2998</v>
      </c>
      <c r="D189" t="s">
        <v>3434</v>
      </c>
      <c r="E189" t="s">
        <v>3850</v>
      </c>
      <c r="F189" t="s">
        <v>1898</v>
      </c>
    </row>
    <row r="190" spans="2:6">
      <c r="B190" t="s">
        <v>301</v>
      </c>
      <c r="C190" t="s">
        <v>867</v>
      </c>
      <c r="D190" t="s">
        <v>2406</v>
      </c>
      <c r="E190" t="s">
        <v>3883</v>
      </c>
      <c r="F190" t="s">
        <v>1462</v>
      </c>
    </row>
    <row r="191" spans="2:6">
      <c r="B191" t="s">
        <v>223</v>
      </c>
      <c r="C191" t="s">
        <v>3098</v>
      </c>
      <c r="D191" t="s">
        <v>3098</v>
      </c>
      <c r="E191" t="s">
        <v>3917</v>
      </c>
      <c r="F191" t="s">
        <v>3917</v>
      </c>
    </row>
    <row r="192" spans="2:6">
      <c r="B192" t="s">
        <v>173</v>
      </c>
      <c r="C192" t="s">
        <v>2953</v>
      </c>
      <c r="D192" t="s">
        <v>2950</v>
      </c>
      <c r="E192" t="s">
        <v>2945</v>
      </c>
      <c r="F192" t="s">
        <v>3425</v>
      </c>
    </row>
    <row r="193" spans="2:6">
      <c r="B193" t="s">
        <v>130</v>
      </c>
      <c r="C193" t="s">
        <v>2874</v>
      </c>
      <c r="D193" t="s">
        <v>3327</v>
      </c>
      <c r="E193" t="s">
        <v>3745</v>
      </c>
      <c r="F193" t="s">
        <v>4137</v>
      </c>
    </row>
    <row r="194" spans="2:6">
      <c r="B194" t="s">
        <v>351</v>
      </c>
      <c r="C194" t="s">
        <v>3233</v>
      </c>
      <c r="D194" t="s">
        <v>3647</v>
      </c>
      <c r="E194" t="s">
        <v>4044</v>
      </c>
      <c r="F194" t="s">
        <v>4415</v>
      </c>
    </row>
    <row r="195" spans="2:6">
      <c r="B195" t="s">
        <v>176</v>
      </c>
      <c r="C195" t="s">
        <v>1401</v>
      </c>
      <c r="D195" t="s">
        <v>3478</v>
      </c>
      <c r="E195" t="s">
        <v>2837</v>
      </c>
      <c r="F195" t="s">
        <v>3883</v>
      </c>
    </row>
    <row r="196" spans="2:6">
      <c r="B196" t="s">
        <v>463</v>
      </c>
      <c r="C196" t="s">
        <v>3266</v>
      </c>
      <c r="D196" t="s">
        <v>3684</v>
      </c>
      <c r="E196" t="s">
        <v>4077</v>
      </c>
      <c r="F196" t="s">
        <v>3259</v>
      </c>
    </row>
    <row r="197" spans="2:6">
      <c r="B197" t="s">
        <v>1</v>
      </c>
      <c r="C197" t="s">
        <v>2938</v>
      </c>
      <c r="D197" t="s">
        <v>3387</v>
      </c>
      <c r="E197" t="s">
        <v>3805</v>
      </c>
      <c r="F197" t="s">
        <v>3805</v>
      </c>
    </row>
    <row r="198" spans="2:6">
      <c r="B198" t="s">
        <v>473</v>
      </c>
      <c r="C198" t="s">
        <v>873</v>
      </c>
      <c r="D198" t="s">
        <v>3477</v>
      </c>
      <c r="E198" t="s">
        <v>1393</v>
      </c>
      <c r="F198" t="s">
        <v>3873</v>
      </c>
    </row>
    <row r="199" spans="2:6">
      <c r="B199" t="s">
        <v>122</v>
      </c>
      <c r="C199" t="s">
        <v>3274</v>
      </c>
      <c r="D199" t="s">
        <v>3692</v>
      </c>
      <c r="E199" t="s">
        <v>4085</v>
      </c>
      <c r="F199" t="s">
        <v>4453</v>
      </c>
    </row>
    <row r="200" spans="2:6">
      <c r="B200" t="s">
        <v>453</v>
      </c>
      <c r="C200" t="s">
        <v>3210</v>
      </c>
      <c r="D200" t="s">
        <v>3622</v>
      </c>
      <c r="E200" t="s">
        <v>4019</v>
      </c>
      <c r="F200" t="s">
        <v>4393</v>
      </c>
    </row>
    <row r="201" spans="2:6">
      <c r="B201" t="s">
        <v>320</v>
      </c>
      <c r="C201" t="s">
        <v>2945</v>
      </c>
      <c r="D201" t="s">
        <v>3393</v>
      </c>
      <c r="E201" t="s">
        <v>3407</v>
      </c>
      <c r="F201" t="s">
        <v>4200</v>
      </c>
    </row>
    <row r="202" spans="2:6">
      <c r="B202" t="s">
        <v>255</v>
      </c>
      <c r="C202" t="s">
        <v>3288</v>
      </c>
      <c r="D202" t="s">
        <v>3706</v>
      </c>
      <c r="E202" t="s">
        <v>4099</v>
      </c>
      <c r="F202" t="s">
        <v>4467</v>
      </c>
    </row>
    <row r="203" spans="2:6">
      <c r="B203" t="s">
        <v>365</v>
      </c>
      <c r="C203" t="s">
        <v>3097</v>
      </c>
      <c r="D203" t="s">
        <v>1947</v>
      </c>
      <c r="E203" t="s">
        <v>3044</v>
      </c>
      <c r="F203" t="s">
        <v>3034</v>
      </c>
    </row>
    <row r="204" spans="2:6">
      <c r="B204" t="s">
        <v>37</v>
      </c>
      <c r="C204" t="s">
        <v>2882</v>
      </c>
      <c r="D204" t="s">
        <v>3335</v>
      </c>
      <c r="E204" t="s">
        <v>3753</v>
      </c>
      <c r="F204" t="s">
        <v>4144</v>
      </c>
    </row>
    <row r="205" spans="2:6">
      <c r="B205" t="s">
        <v>346</v>
      </c>
      <c r="C205" t="s">
        <v>3235</v>
      </c>
      <c r="D205" t="s">
        <v>3650</v>
      </c>
      <c r="E205" t="s">
        <v>4047</v>
      </c>
      <c r="F205" t="s">
        <v>4418</v>
      </c>
    </row>
    <row r="206" spans="2:6">
      <c r="B206" t="s">
        <v>389</v>
      </c>
      <c r="C206" t="s">
        <v>3158</v>
      </c>
      <c r="D206" t="s">
        <v>3575</v>
      </c>
      <c r="E206" t="s">
        <v>3973</v>
      </c>
      <c r="F206" t="s">
        <v>3457</v>
      </c>
    </row>
    <row r="207" spans="2:6">
      <c r="B207" t="s">
        <v>271</v>
      </c>
      <c r="C207" t="s">
        <v>3047</v>
      </c>
      <c r="D207" t="s">
        <v>3474</v>
      </c>
      <c r="E207" t="s">
        <v>3472</v>
      </c>
      <c r="F207" t="s">
        <v>4265</v>
      </c>
    </row>
    <row r="208" spans="2:6">
      <c r="B208" t="s">
        <v>234</v>
      </c>
      <c r="C208" t="s">
        <v>3297</v>
      </c>
      <c r="D208" t="s">
        <v>3715</v>
      </c>
      <c r="E208" t="s">
        <v>4108</v>
      </c>
      <c r="F208" t="s">
        <v>4476</v>
      </c>
    </row>
    <row r="209" spans="2:6">
      <c r="B209" t="s">
        <v>272</v>
      </c>
      <c r="C209" t="s">
        <v>3321</v>
      </c>
      <c r="D209" t="s">
        <v>3739</v>
      </c>
      <c r="E209" t="s">
        <v>4132</v>
      </c>
      <c r="F209" t="s">
        <v>4498</v>
      </c>
    </row>
    <row r="210" spans="2:6">
      <c r="B210" t="s">
        <v>428</v>
      </c>
      <c r="C210" t="s">
        <v>3134</v>
      </c>
      <c r="D210" t="s">
        <v>3551</v>
      </c>
      <c r="E210" t="s">
        <v>3949</v>
      </c>
      <c r="F210" t="s">
        <v>2410</v>
      </c>
    </row>
    <row r="211" spans="2:6">
      <c r="B211" t="s">
        <v>159</v>
      </c>
      <c r="C211" t="s">
        <v>3027</v>
      </c>
      <c r="D211" t="s">
        <v>3459</v>
      </c>
      <c r="E211" t="s">
        <v>3455</v>
      </c>
      <c r="F211" t="s">
        <v>3020</v>
      </c>
    </row>
    <row r="212" spans="2:6">
      <c r="B212" t="s">
        <v>34</v>
      </c>
      <c r="C212" t="s">
        <v>3249</v>
      </c>
      <c r="D212" t="s">
        <v>3664</v>
      </c>
      <c r="E212" t="s">
        <v>1108</v>
      </c>
      <c r="F212" t="s">
        <v>4429</v>
      </c>
    </row>
    <row r="213" spans="2:6">
      <c r="B213" t="s">
        <v>214</v>
      </c>
      <c r="C213" t="s">
        <v>3051</v>
      </c>
      <c r="D213" t="s">
        <v>1435</v>
      </c>
      <c r="E213" t="s">
        <v>3475</v>
      </c>
      <c r="F213" t="s">
        <v>1435</v>
      </c>
    </row>
    <row r="214" spans="2:6">
      <c r="B214" t="s">
        <v>5</v>
      </c>
      <c r="C214" t="s">
        <v>2153</v>
      </c>
      <c r="D214" t="s">
        <v>3671</v>
      </c>
      <c r="E214" t="s">
        <v>4070</v>
      </c>
      <c r="F214" t="s">
        <v>4439</v>
      </c>
    </row>
    <row r="215" spans="2:6">
      <c r="B215" t="s">
        <v>506</v>
      </c>
      <c r="C215" t="s">
        <v>3121</v>
      </c>
      <c r="D215" t="s">
        <v>3538</v>
      </c>
      <c r="E215" t="s">
        <v>3936</v>
      </c>
      <c r="F215" t="s">
        <v>4315</v>
      </c>
    </row>
    <row r="216" spans="2:6">
      <c r="B216" t="s">
        <v>322</v>
      </c>
      <c r="C216" t="s">
        <v>3283</v>
      </c>
      <c r="D216" t="s">
        <v>3701</v>
      </c>
      <c r="E216" t="s">
        <v>4094</v>
      </c>
      <c r="F216" t="s">
        <v>4462</v>
      </c>
    </row>
    <row r="217" spans="2:6">
      <c r="B217" t="s">
        <v>388</v>
      </c>
      <c r="C217" t="s">
        <v>3319</v>
      </c>
      <c r="D217" t="s">
        <v>3737</v>
      </c>
      <c r="E217" t="s">
        <v>4130</v>
      </c>
      <c r="F217" t="s">
        <v>4496</v>
      </c>
    </row>
    <row r="218" spans="2:6">
      <c r="B218" t="s">
        <v>115</v>
      </c>
      <c r="C218" t="s">
        <v>2147</v>
      </c>
      <c r="D218" t="s">
        <v>3676</v>
      </c>
      <c r="E218" t="s">
        <v>1139</v>
      </c>
      <c r="F218" t="s">
        <v>2147</v>
      </c>
    </row>
    <row r="219" spans="2:6">
      <c r="B219" t="s">
        <v>161</v>
      </c>
      <c r="C219" t="s">
        <v>2887</v>
      </c>
      <c r="D219" t="s">
        <v>3339</v>
      </c>
      <c r="E219" t="s">
        <v>3758</v>
      </c>
      <c r="F219" t="s">
        <v>4149</v>
      </c>
    </row>
    <row r="220" spans="2:6">
      <c r="B220" t="s">
        <v>132</v>
      </c>
      <c r="C220" t="s">
        <v>3049</v>
      </c>
      <c r="D220" t="s">
        <v>3044</v>
      </c>
      <c r="E220" t="s">
        <v>3047</v>
      </c>
      <c r="F220" t="s">
        <v>3049</v>
      </c>
    </row>
    <row r="221" spans="2:6">
      <c r="B221" t="s">
        <v>117</v>
      </c>
      <c r="C221" t="s">
        <v>2890</v>
      </c>
      <c r="D221" t="s">
        <v>3342</v>
      </c>
      <c r="E221" t="s">
        <v>3761</v>
      </c>
      <c r="F221" t="s">
        <v>4152</v>
      </c>
    </row>
    <row r="222" spans="2:6">
      <c r="B222" t="s">
        <v>84</v>
      </c>
      <c r="C222" t="s">
        <v>2872</v>
      </c>
      <c r="D222" t="s">
        <v>3325</v>
      </c>
      <c r="E222" t="s">
        <v>3743</v>
      </c>
      <c r="F222" t="s">
        <v>4135</v>
      </c>
    </row>
    <row r="223" spans="2:6">
      <c r="B223" t="s">
        <v>288</v>
      </c>
      <c r="C223" t="s">
        <v>2893</v>
      </c>
      <c r="D223" t="s">
        <v>3345</v>
      </c>
      <c r="E223" t="s">
        <v>3764</v>
      </c>
      <c r="F223" t="s">
        <v>4154</v>
      </c>
    </row>
    <row r="224" spans="2:6">
      <c r="B224" t="s">
        <v>430</v>
      </c>
      <c r="C224" t="s">
        <v>2403</v>
      </c>
      <c r="D224" t="s">
        <v>3056</v>
      </c>
      <c r="E224" t="s">
        <v>1389</v>
      </c>
      <c r="F224" t="s">
        <v>872</v>
      </c>
    </row>
    <row r="225" spans="2:6">
      <c r="B225" t="s">
        <v>304</v>
      </c>
      <c r="C225" t="s">
        <v>863</v>
      </c>
      <c r="D225" t="s">
        <v>3467</v>
      </c>
      <c r="E225" t="s">
        <v>1462</v>
      </c>
      <c r="F225" t="s">
        <v>1895</v>
      </c>
    </row>
    <row r="226" spans="2:6">
      <c r="B226" t="s">
        <v>411</v>
      </c>
      <c r="C226" t="s">
        <v>2983</v>
      </c>
      <c r="D226" t="s">
        <v>2984</v>
      </c>
      <c r="E226" t="s">
        <v>3837</v>
      </c>
      <c r="F226" t="s">
        <v>4228</v>
      </c>
    </row>
    <row r="227" spans="2:6">
      <c r="B227" t="s">
        <v>170</v>
      </c>
      <c r="C227" t="s">
        <v>3310</v>
      </c>
      <c r="D227" t="s">
        <v>3728</v>
      </c>
      <c r="E227" t="s">
        <v>4121</v>
      </c>
      <c r="F227" t="s">
        <v>4488</v>
      </c>
    </row>
    <row r="228" spans="2:6">
      <c r="B228" t="s">
        <v>225</v>
      </c>
      <c r="C228" t="s">
        <v>2972</v>
      </c>
      <c r="D228" t="s">
        <v>3404</v>
      </c>
      <c r="E228" t="s">
        <v>2953</v>
      </c>
      <c r="F228" t="s">
        <v>4220</v>
      </c>
    </row>
    <row r="229" spans="2:6">
      <c r="B229" t="s">
        <v>456</v>
      </c>
      <c r="C229" t="s">
        <v>3183</v>
      </c>
      <c r="D229" t="s">
        <v>3596</v>
      </c>
      <c r="E229" t="s">
        <v>3994</v>
      </c>
      <c r="F229" t="s">
        <v>4370</v>
      </c>
    </row>
    <row r="230" spans="2:6">
      <c r="B230" t="s">
        <v>195</v>
      </c>
      <c r="C230" t="s">
        <v>3284</v>
      </c>
      <c r="D230" t="s">
        <v>3702</v>
      </c>
      <c r="E230" t="s">
        <v>4095</v>
      </c>
      <c r="F230" t="s">
        <v>4463</v>
      </c>
    </row>
    <row r="231" spans="2:6">
      <c r="B231" t="s">
        <v>319</v>
      </c>
      <c r="C231" t="s">
        <v>3264</v>
      </c>
      <c r="D231" t="s">
        <v>3682</v>
      </c>
      <c r="E231" t="s">
        <v>4076</v>
      </c>
      <c r="F231" t="s">
        <v>4445</v>
      </c>
    </row>
    <row r="232" spans="2:6">
      <c r="B232" t="s">
        <v>813</v>
      </c>
      <c r="C232" t="s">
        <v>2879</v>
      </c>
      <c r="D232" t="s">
        <v>3332</v>
      </c>
      <c r="E232" t="s">
        <v>3750</v>
      </c>
      <c r="F232" t="s">
        <v>4141</v>
      </c>
    </row>
    <row r="233" spans="2:6">
      <c r="B233" t="s">
        <v>148</v>
      </c>
      <c r="C233" t="s">
        <v>3021</v>
      </c>
      <c r="D233" t="s">
        <v>3454</v>
      </c>
      <c r="E233" t="s">
        <v>3021</v>
      </c>
      <c r="F233" t="s">
        <v>3451</v>
      </c>
    </row>
    <row r="234" spans="2:6">
      <c r="B234" t="s">
        <v>124</v>
      </c>
      <c r="C234" t="s">
        <v>2960</v>
      </c>
      <c r="D234" t="s">
        <v>2940</v>
      </c>
      <c r="E234" t="s">
        <v>3820</v>
      </c>
      <c r="F234" t="s">
        <v>4212</v>
      </c>
    </row>
    <row r="235" spans="2:6">
      <c r="B235" t="s">
        <v>88</v>
      </c>
      <c r="C235" t="s">
        <v>3007</v>
      </c>
      <c r="D235" t="s">
        <v>3441</v>
      </c>
      <c r="E235" t="s">
        <v>3856</v>
      </c>
      <c r="F235" t="s">
        <v>4244</v>
      </c>
    </row>
    <row r="236" spans="2:6">
      <c r="B236" t="s">
        <v>460</v>
      </c>
      <c r="C236" t="s">
        <v>3133</v>
      </c>
      <c r="D236" t="s">
        <v>3550</v>
      </c>
      <c r="E236" t="s">
        <v>3948</v>
      </c>
      <c r="F236" t="s">
        <v>4327</v>
      </c>
    </row>
    <row r="237" spans="2:6">
      <c r="B237" t="s">
        <v>297</v>
      </c>
      <c r="C237" t="s">
        <v>3157</v>
      </c>
      <c r="D237" t="s">
        <v>3574</v>
      </c>
      <c r="E237" t="s">
        <v>3972</v>
      </c>
      <c r="F237" t="s">
        <v>4350</v>
      </c>
    </row>
    <row r="238" spans="2:6">
      <c r="B238" t="s">
        <v>475</v>
      </c>
      <c r="C238" t="s">
        <v>3005</v>
      </c>
      <c r="D238" t="s">
        <v>3439</v>
      </c>
      <c r="E238" t="s">
        <v>2981</v>
      </c>
      <c r="F238" t="s">
        <v>2966</v>
      </c>
    </row>
    <row r="239" spans="2:6">
      <c r="B239" t="s">
        <v>377</v>
      </c>
      <c r="C239" t="s">
        <v>3221</v>
      </c>
      <c r="D239" t="s">
        <v>3634</v>
      </c>
      <c r="E239" t="s">
        <v>4031</v>
      </c>
      <c r="F239" t="s">
        <v>4404</v>
      </c>
    </row>
    <row r="240" spans="2:6">
      <c r="B240" t="s">
        <v>818</v>
      </c>
      <c r="C240" t="s">
        <v>3008</v>
      </c>
      <c r="D240" t="s">
        <v>3442</v>
      </c>
      <c r="E240" t="s">
        <v>3857</v>
      </c>
      <c r="F240" t="s">
        <v>4245</v>
      </c>
    </row>
    <row r="241" spans="2:6">
      <c r="B241" t="s">
        <v>213</v>
      </c>
      <c r="C241" t="s">
        <v>3136</v>
      </c>
      <c r="D241" t="s">
        <v>3553</v>
      </c>
      <c r="E241" t="s">
        <v>3951</v>
      </c>
      <c r="F241" t="s">
        <v>4329</v>
      </c>
    </row>
    <row r="242" spans="2:6">
      <c r="B242" t="s">
        <v>290</v>
      </c>
      <c r="C242" t="s">
        <v>2968</v>
      </c>
      <c r="D242" t="s">
        <v>3406</v>
      </c>
      <c r="E242" t="s">
        <v>3401</v>
      </c>
      <c r="F242" t="s">
        <v>4219</v>
      </c>
    </row>
    <row r="243" spans="2:6">
      <c r="B243" t="s">
        <v>504</v>
      </c>
      <c r="C243" t="s">
        <v>3159</v>
      </c>
      <c r="D243" t="s">
        <v>3576</v>
      </c>
      <c r="E243" t="s">
        <v>3051</v>
      </c>
      <c r="F243" t="s">
        <v>3050</v>
      </c>
    </row>
    <row r="244" spans="2:6">
      <c r="B244" t="s">
        <v>123</v>
      </c>
      <c r="C244" t="s">
        <v>2928</v>
      </c>
      <c r="D244" t="s">
        <v>3378</v>
      </c>
      <c r="E244" t="s">
        <v>3798</v>
      </c>
      <c r="F244" t="s">
        <v>4187</v>
      </c>
    </row>
    <row r="245" spans="2:6">
      <c r="B245" t="s">
        <v>50</v>
      </c>
      <c r="C245" t="s">
        <v>2970</v>
      </c>
      <c r="D245" t="s">
        <v>846</v>
      </c>
      <c r="E245" t="s">
        <v>3829</v>
      </c>
      <c r="F245" t="s">
        <v>3855</v>
      </c>
    </row>
    <row r="246" spans="2:6">
      <c r="B246" t="s">
        <v>198</v>
      </c>
      <c r="C246" t="s">
        <v>3115</v>
      </c>
      <c r="D246" t="s">
        <v>3532</v>
      </c>
      <c r="E246" t="s">
        <v>3931</v>
      </c>
      <c r="F246" t="s">
        <v>4311</v>
      </c>
    </row>
    <row r="247" spans="2:6">
      <c r="B247" t="s">
        <v>465</v>
      </c>
      <c r="C247" t="s">
        <v>1063</v>
      </c>
      <c r="D247" t="s">
        <v>3648</v>
      </c>
      <c r="E247" t="s">
        <v>4045</v>
      </c>
      <c r="F247" t="s">
        <v>4416</v>
      </c>
    </row>
    <row r="248" spans="2:6">
      <c r="B248" t="s">
        <v>70</v>
      </c>
      <c r="C248" t="s">
        <v>3263</v>
      </c>
      <c r="D248" t="s">
        <v>3681</v>
      </c>
      <c r="E248" t="s">
        <v>4075</v>
      </c>
      <c r="F248" t="s">
        <v>4444</v>
      </c>
    </row>
    <row r="249" spans="2:6">
      <c r="B249" t="s">
        <v>112</v>
      </c>
      <c r="C249" t="s">
        <v>3001</v>
      </c>
      <c r="D249" t="s">
        <v>3436</v>
      </c>
      <c r="E249" t="s">
        <v>3852</v>
      </c>
      <c r="F249" t="s">
        <v>2999</v>
      </c>
    </row>
    <row r="250" spans="2:6">
      <c r="B250" t="s">
        <v>378</v>
      </c>
      <c r="C250" t="s">
        <v>2957</v>
      </c>
      <c r="D250" t="s">
        <v>3404</v>
      </c>
      <c r="E250" t="s">
        <v>2956</v>
      </c>
      <c r="F250" t="s">
        <v>2954</v>
      </c>
    </row>
    <row r="251" spans="2:6">
      <c r="B251" t="s">
        <v>231</v>
      </c>
      <c r="C251" t="s">
        <v>3155</v>
      </c>
      <c r="D251" t="s">
        <v>3572</v>
      </c>
      <c r="E251" t="s">
        <v>3970</v>
      </c>
      <c r="F251" t="s">
        <v>4348</v>
      </c>
    </row>
    <row r="252" spans="2:6">
      <c r="B252" t="s">
        <v>505</v>
      </c>
      <c r="C252" t="s">
        <v>2990</v>
      </c>
      <c r="D252" t="s">
        <v>3429</v>
      </c>
      <c r="E252" t="s">
        <v>3846</v>
      </c>
      <c r="F252" t="s">
        <v>4236</v>
      </c>
    </row>
    <row r="253" spans="2:6">
      <c r="B253" t="s">
        <v>83</v>
      </c>
      <c r="C253" t="s">
        <v>2907</v>
      </c>
      <c r="D253" t="s">
        <v>3360</v>
      </c>
      <c r="E253" t="s">
        <v>3779</v>
      </c>
      <c r="F253" t="s">
        <v>4167</v>
      </c>
    </row>
    <row r="254" spans="2:6">
      <c r="B254" t="s">
        <v>483</v>
      </c>
      <c r="C254" t="s">
        <v>3099</v>
      </c>
      <c r="D254" t="s">
        <v>3050</v>
      </c>
      <c r="E254" t="s">
        <v>1903</v>
      </c>
      <c r="F254" t="s">
        <v>3886</v>
      </c>
    </row>
    <row r="255" spans="2:6">
      <c r="B255" t="s">
        <v>80</v>
      </c>
      <c r="C255" t="s">
        <v>2878</v>
      </c>
      <c r="D255" t="s">
        <v>3331</v>
      </c>
      <c r="E255" t="s">
        <v>3749</v>
      </c>
      <c r="F255" t="s">
        <v>4140</v>
      </c>
    </row>
    <row r="256" spans="2:6">
      <c r="B256" t="s">
        <v>825</v>
      </c>
      <c r="C256" t="s">
        <v>3227</v>
      </c>
      <c r="D256" t="s">
        <v>3640</v>
      </c>
      <c r="E256" t="s">
        <v>4037</v>
      </c>
      <c r="F256" t="s">
        <v>4409</v>
      </c>
    </row>
    <row r="257" spans="2:6">
      <c r="B257" t="s">
        <v>164</v>
      </c>
      <c r="C257" t="s">
        <v>1947</v>
      </c>
      <c r="D257" t="s">
        <v>3481</v>
      </c>
      <c r="E257" t="s">
        <v>1441</v>
      </c>
      <c r="F257" t="s">
        <v>871</v>
      </c>
    </row>
    <row r="258" spans="2:6">
      <c r="B258" t="s">
        <v>352</v>
      </c>
      <c r="C258" t="s">
        <v>3118</v>
      </c>
      <c r="D258" t="s">
        <v>3535</v>
      </c>
      <c r="E258" t="s">
        <v>1947</v>
      </c>
      <c r="F258" t="s">
        <v>2357</v>
      </c>
    </row>
    <row r="259" spans="2:6">
      <c r="B259" t="s">
        <v>286</v>
      </c>
      <c r="C259" t="s">
        <v>2987</v>
      </c>
      <c r="D259" t="s">
        <v>3427</v>
      </c>
      <c r="E259" t="s">
        <v>3844</v>
      </c>
      <c r="F259" t="s">
        <v>4233</v>
      </c>
    </row>
    <row r="260" spans="2:6">
      <c r="B260" t="s">
        <v>166</v>
      </c>
      <c r="C260" t="s">
        <v>2937</v>
      </c>
      <c r="D260" t="s">
        <v>3386</v>
      </c>
      <c r="E260" t="s">
        <v>3804</v>
      </c>
      <c r="F260" t="s">
        <v>4181</v>
      </c>
    </row>
    <row r="261" spans="2:6">
      <c r="B261" t="s">
        <v>357</v>
      </c>
      <c r="C261" t="s">
        <v>3040</v>
      </c>
      <c r="D261" t="s">
        <v>3036</v>
      </c>
      <c r="E261" t="s">
        <v>854</v>
      </c>
      <c r="F261" t="s">
        <v>854</v>
      </c>
    </row>
    <row r="262" spans="2:6">
      <c r="B262" t="s">
        <v>499</v>
      </c>
      <c r="C262" t="s">
        <v>3190</v>
      </c>
      <c r="D262" t="s">
        <v>3602</v>
      </c>
      <c r="E262" t="s">
        <v>4000</v>
      </c>
      <c r="F262" t="s">
        <v>4375</v>
      </c>
    </row>
    <row r="263" spans="2:6">
      <c r="B263" t="s">
        <v>266</v>
      </c>
      <c r="C263" t="s">
        <v>2405</v>
      </c>
      <c r="D263" t="s">
        <v>861</v>
      </c>
      <c r="E263" t="s">
        <v>859</v>
      </c>
      <c r="F263" t="s">
        <v>1875</v>
      </c>
    </row>
    <row r="264" spans="2:6">
      <c r="B264" t="s">
        <v>156</v>
      </c>
      <c r="C264" t="s">
        <v>3091</v>
      </c>
      <c r="D264" t="s">
        <v>869</v>
      </c>
      <c r="E264" t="s">
        <v>867</v>
      </c>
      <c r="F264" t="s">
        <v>3886</v>
      </c>
    </row>
    <row r="265" spans="2:6">
      <c r="B265" t="s">
        <v>82</v>
      </c>
      <c r="C265" t="s">
        <v>2914</v>
      </c>
      <c r="D265" t="s">
        <v>3367</v>
      </c>
      <c r="E265" t="s">
        <v>3786</v>
      </c>
      <c r="F265" t="s">
        <v>4173</v>
      </c>
    </row>
    <row r="266" spans="2:6">
      <c r="B266" t="s">
        <v>487</v>
      </c>
      <c r="C266" t="s">
        <v>3102</v>
      </c>
      <c r="D266" t="s">
        <v>3519</v>
      </c>
      <c r="E266" t="s">
        <v>866</v>
      </c>
      <c r="F266" t="s">
        <v>3048</v>
      </c>
    </row>
    <row r="267" spans="2:6">
      <c r="B267" t="s">
        <v>448</v>
      </c>
      <c r="C267" t="s">
        <v>3217</v>
      </c>
      <c r="D267" t="s">
        <v>3630</v>
      </c>
      <c r="E267" t="s">
        <v>4027</v>
      </c>
      <c r="F267" t="s">
        <v>4400</v>
      </c>
    </row>
    <row r="268" spans="2:6">
      <c r="B268" t="s">
        <v>78</v>
      </c>
      <c r="C268" t="s">
        <v>3195</v>
      </c>
      <c r="D268" t="s">
        <v>3607</v>
      </c>
      <c r="E268" t="s">
        <v>4005</v>
      </c>
      <c r="F268" t="s">
        <v>4380</v>
      </c>
    </row>
    <row r="269" spans="2:6">
      <c r="B269" t="s">
        <v>203</v>
      </c>
      <c r="C269" t="s">
        <v>3055</v>
      </c>
      <c r="D269" t="s">
        <v>1398</v>
      </c>
      <c r="E269" t="s">
        <v>865</v>
      </c>
      <c r="F269" t="s">
        <v>868</v>
      </c>
    </row>
    <row r="270" spans="2:6">
      <c r="B270" t="s">
        <v>197</v>
      </c>
      <c r="C270" t="s">
        <v>2400</v>
      </c>
      <c r="D270" t="s">
        <v>1381</v>
      </c>
      <c r="E270" t="s">
        <v>1402</v>
      </c>
      <c r="F270" t="s">
        <v>3053</v>
      </c>
    </row>
    <row r="271" spans="2:6">
      <c r="B271" t="s">
        <v>87</v>
      </c>
      <c r="C271" t="s">
        <v>1401</v>
      </c>
      <c r="D271" t="s">
        <v>3054</v>
      </c>
      <c r="E271" t="s">
        <v>3056</v>
      </c>
      <c r="F271" t="s">
        <v>3056</v>
      </c>
    </row>
    <row r="272" spans="2:6">
      <c r="B272" t="s">
        <v>73</v>
      </c>
      <c r="C272" t="s">
        <v>1871</v>
      </c>
      <c r="D272" t="s">
        <v>3421</v>
      </c>
      <c r="E272" t="s">
        <v>3834</v>
      </c>
      <c r="F272" t="s">
        <v>4225</v>
      </c>
    </row>
    <row r="273" spans="2:6">
      <c r="B273" t="s">
        <v>165</v>
      </c>
      <c r="C273" t="s">
        <v>3002</v>
      </c>
      <c r="D273" t="s">
        <v>3437</v>
      </c>
      <c r="E273" t="s">
        <v>3854</v>
      </c>
      <c r="F273" t="s">
        <v>4242</v>
      </c>
    </row>
    <row r="274" spans="2:6">
      <c r="B274" t="s">
        <v>485</v>
      </c>
      <c r="C274" t="s">
        <v>3228</v>
      </c>
      <c r="D274" t="s">
        <v>3642</v>
      </c>
      <c r="E274" t="s">
        <v>4039</v>
      </c>
      <c r="F274" t="s">
        <v>4411</v>
      </c>
    </row>
    <row r="275" spans="2:6">
      <c r="B275" t="s">
        <v>474</v>
      </c>
      <c r="C275" t="s">
        <v>2994</v>
      </c>
      <c r="D275" t="s">
        <v>850</v>
      </c>
      <c r="E275" t="s">
        <v>2998</v>
      </c>
      <c r="F275" t="s">
        <v>4238</v>
      </c>
    </row>
    <row r="276" spans="2:6">
      <c r="B276" t="s">
        <v>15</v>
      </c>
      <c r="C276" t="s">
        <v>3034</v>
      </c>
      <c r="D276" t="s">
        <v>3466</v>
      </c>
      <c r="E276" t="s">
        <v>3437</v>
      </c>
      <c r="F276" t="s">
        <v>850</v>
      </c>
    </row>
    <row r="277" spans="2:6">
      <c r="B277" t="s">
        <v>44</v>
      </c>
      <c r="C277" t="s">
        <v>3313</v>
      </c>
      <c r="D277" t="s">
        <v>3731</v>
      </c>
      <c r="E277" t="s">
        <v>4124</v>
      </c>
      <c r="F277" t="s">
        <v>4491</v>
      </c>
    </row>
    <row r="278" spans="2:6">
      <c r="B278" t="s">
        <v>313</v>
      </c>
      <c r="C278" t="s">
        <v>3081</v>
      </c>
      <c r="D278" t="s">
        <v>3502</v>
      </c>
      <c r="E278" t="s">
        <v>3904</v>
      </c>
      <c r="F278" t="s">
        <v>4285</v>
      </c>
    </row>
    <row r="279" spans="2:6">
      <c r="B279" t="s">
        <v>85</v>
      </c>
      <c r="C279" t="s">
        <v>3252</v>
      </c>
      <c r="D279" t="s">
        <v>3667</v>
      </c>
      <c r="E279" t="s">
        <v>2325</v>
      </c>
      <c r="F279" t="s">
        <v>2160</v>
      </c>
    </row>
    <row r="280" spans="2:6">
      <c r="B280" t="s">
        <v>455</v>
      </c>
      <c r="C280" t="s">
        <v>3236</v>
      </c>
      <c r="D280" t="s">
        <v>3651</v>
      </c>
      <c r="E280" t="s">
        <v>4048</v>
      </c>
      <c r="F280" t="s">
        <v>4419</v>
      </c>
    </row>
    <row r="281" spans="2:6">
      <c r="B281" t="s">
        <v>310</v>
      </c>
      <c r="C281" t="s">
        <v>3067</v>
      </c>
      <c r="D281" t="s">
        <v>3490</v>
      </c>
      <c r="E281" t="s">
        <v>3894</v>
      </c>
      <c r="F281" t="s">
        <v>4274</v>
      </c>
    </row>
    <row r="282" spans="2:6">
      <c r="B282" t="s">
        <v>140</v>
      </c>
      <c r="C282" t="s">
        <v>2964</v>
      </c>
      <c r="D282" t="s">
        <v>3409</v>
      </c>
      <c r="E282" t="s">
        <v>3824</v>
      </c>
      <c r="F282" t="s">
        <v>4216</v>
      </c>
    </row>
    <row r="283" spans="2:6">
      <c r="B283" t="s">
        <v>495</v>
      </c>
      <c r="C283" t="s">
        <v>3230</v>
      </c>
      <c r="D283" t="s">
        <v>3644</v>
      </c>
      <c r="E283" t="s">
        <v>4041</v>
      </c>
      <c r="F283" t="s">
        <v>4412</v>
      </c>
    </row>
    <row r="284" spans="2:6">
      <c r="B284" t="s">
        <v>9</v>
      </c>
      <c r="C284" t="s">
        <v>3112</v>
      </c>
      <c r="D284" t="s">
        <v>3529</v>
      </c>
      <c r="E284" t="s">
        <v>3928</v>
      </c>
      <c r="F284" t="s">
        <v>4308</v>
      </c>
    </row>
    <row r="285" spans="2:6">
      <c r="B285" t="s">
        <v>810</v>
      </c>
      <c r="C285" t="s">
        <v>2973</v>
      </c>
      <c r="D285" t="s">
        <v>3409</v>
      </c>
      <c r="E285" t="s">
        <v>3830</v>
      </c>
      <c r="F285" t="s">
        <v>3823</v>
      </c>
    </row>
    <row r="286" spans="2:6">
      <c r="B286" t="s">
        <v>309</v>
      </c>
      <c r="C286" t="s">
        <v>3084</v>
      </c>
      <c r="D286" t="s">
        <v>3505</v>
      </c>
      <c r="E286" t="s">
        <v>3906</v>
      </c>
      <c r="F286" t="s">
        <v>4288</v>
      </c>
    </row>
    <row r="287" spans="2:6">
      <c r="B287" t="s">
        <v>307</v>
      </c>
      <c r="C287" t="s">
        <v>3186</v>
      </c>
      <c r="D287" t="s">
        <v>3598</v>
      </c>
      <c r="E287" t="s">
        <v>3996</v>
      </c>
      <c r="F287" t="s">
        <v>4372</v>
      </c>
    </row>
    <row r="288" spans="2:6">
      <c r="B288" t="s">
        <v>105</v>
      </c>
      <c r="C288" t="s">
        <v>2965</v>
      </c>
      <c r="D288" t="s">
        <v>3410</v>
      </c>
      <c r="E288" t="s">
        <v>3825</v>
      </c>
      <c r="F288" t="s">
        <v>4217</v>
      </c>
    </row>
    <row r="289" spans="2:6">
      <c r="B289" t="s">
        <v>4</v>
      </c>
      <c r="C289" t="s">
        <v>2880</v>
      </c>
      <c r="D289" t="s">
        <v>3333</v>
      </c>
      <c r="E289" t="s">
        <v>3751</v>
      </c>
      <c r="F289" t="s">
        <v>4142</v>
      </c>
    </row>
    <row r="290" spans="2:6">
      <c r="B290" t="s">
        <v>157</v>
      </c>
      <c r="C290" t="s">
        <v>3292</v>
      </c>
      <c r="D290" t="s">
        <v>3710</v>
      </c>
      <c r="E290" t="s">
        <v>4103</v>
      </c>
      <c r="F290" t="s">
        <v>4471</v>
      </c>
    </row>
    <row r="291" spans="2:6">
      <c r="B291" t="s">
        <v>110</v>
      </c>
      <c r="C291" t="s">
        <v>3293</v>
      </c>
      <c r="D291" t="s">
        <v>3711</v>
      </c>
      <c r="E291" t="s">
        <v>4104</v>
      </c>
      <c r="F291" t="s">
        <v>4472</v>
      </c>
    </row>
    <row r="292" spans="2:6">
      <c r="B292" t="s">
        <v>488</v>
      </c>
      <c r="C292" t="s">
        <v>3240</v>
      </c>
      <c r="D292" t="s">
        <v>3655</v>
      </c>
      <c r="E292" t="s">
        <v>3046</v>
      </c>
      <c r="F292" t="s">
        <v>3452</v>
      </c>
    </row>
    <row r="293" spans="2:6">
      <c r="B293" t="s">
        <v>367</v>
      </c>
      <c r="C293" t="s">
        <v>3045</v>
      </c>
      <c r="D293" t="s">
        <v>3028</v>
      </c>
      <c r="E293" t="s">
        <v>1442</v>
      </c>
      <c r="F293" t="s">
        <v>1381</v>
      </c>
    </row>
    <row r="294" spans="2:6">
      <c r="B294" t="s">
        <v>822</v>
      </c>
      <c r="C294" t="s">
        <v>3114</v>
      </c>
      <c r="D294" t="s">
        <v>3531</v>
      </c>
      <c r="E294" t="s">
        <v>3930</v>
      </c>
      <c r="F294" t="s">
        <v>4310</v>
      </c>
    </row>
    <row r="295" spans="2:6">
      <c r="B295" t="s">
        <v>808</v>
      </c>
      <c r="C295" t="s">
        <v>3169</v>
      </c>
      <c r="D295" t="s">
        <v>3584</v>
      </c>
      <c r="E295" t="s">
        <v>3982</v>
      </c>
      <c r="F295" t="s">
        <v>4357</v>
      </c>
    </row>
    <row r="296" spans="2:6">
      <c r="B296" t="s">
        <v>356</v>
      </c>
      <c r="C296" t="s">
        <v>3060</v>
      </c>
      <c r="D296" t="s">
        <v>3483</v>
      </c>
      <c r="E296" t="s">
        <v>2425</v>
      </c>
      <c r="F296" t="s">
        <v>3050</v>
      </c>
    </row>
    <row r="297" spans="2:6">
      <c r="B297" t="s">
        <v>444</v>
      </c>
      <c r="C297" t="s">
        <v>3119</v>
      </c>
      <c r="D297" t="s">
        <v>3536</v>
      </c>
      <c r="E297" t="s">
        <v>3934</v>
      </c>
      <c r="F297" t="s">
        <v>4313</v>
      </c>
    </row>
    <row r="298" spans="2:6">
      <c r="B298" t="s">
        <v>135</v>
      </c>
      <c r="C298" t="s">
        <v>2993</v>
      </c>
      <c r="D298" t="s">
        <v>2987</v>
      </c>
      <c r="E298" t="s">
        <v>3848</v>
      </c>
      <c r="F298" t="s">
        <v>1892</v>
      </c>
    </row>
    <row r="299" spans="2:6">
      <c r="B299" t="s">
        <v>420</v>
      </c>
      <c r="C299" t="s">
        <v>3028</v>
      </c>
      <c r="D299" t="s">
        <v>854</v>
      </c>
      <c r="E299" t="s">
        <v>2409</v>
      </c>
      <c r="F299" t="s">
        <v>4256</v>
      </c>
    </row>
    <row r="300" spans="2:6">
      <c r="B300" t="s">
        <v>353</v>
      </c>
      <c r="C300" t="s">
        <v>3017</v>
      </c>
      <c r="D300" t="s">
        <v>3450</v>
      </c>
      <c r="E300" t="s">
        <v>3864</v>
      </c>
      <c r="F300" t="s">
        <v>2861</v>
      </c>
    </row>
    <row r="301" spans="2:6">
      <c r="B301" t="s">
        <v>476</v>
      </c>
      <c r="C301" t="s">
        <v>3053</v>
      </c>
      <c r="D301" t="s">
        <v>1910</v>
      </c>
      <c r="E301" t="s">
        <v>3884</v>
      </c>
      <c r="F301" t="s">
        <v>3875</v>
      </c>
    </row>
    <row r="302" spans="2:6">
      <c r="B302" t="s">
        <v>479</v>
      </c>
      <c r="C302" t="s">
        <v>1395</v>
      </c>
      <c r="D302" t="s">
        <v>1876</v>
      </c>
      <c r="E302" t="s">
        <v>3873</v>
      </c>
      <c r="F302" t="s">
        <v>856</v>
      </c>
    </row>
    <row r="303" spans="2:6">
      <c r="B303" t="s">
        <v>480</v>
      </c>
      <c r="C303" t="s">
        <v>3180</v>
      </c>
      <c r="D303" t="s">
        <v>3593</v>
      </c>
      <c r="E303" t="s">
        <v>3991</v>
      </c>
      <c r="F303" t="s">
        <v>4367</v>
      </c>
    </row>
    <row r="304" spans="2:6">
      <c r="B304" t="s">
        <v>262</v>
      </c>
      <c r="C304" t="s">
        <v>3080</v>
      </c>
      <c r="D304" t="s">
        <v>3501</v>
      </c>
      <c r="E304" t="s">
        <v>3903</v>
      </c>
      <c r="F304" t="s">
        <v>4284</v>
      </c>
    </row>
    <row r="305" spans="2:6">
      <c r="B305" t="s">
        <v>10</v>
      </c>
      <c r="C305" t="s">
        <v>3065</v>
      </c>
      <c r="D305" t="s">
        <v>3488</v>
      </c>
      <c r="E305" t="s">
        <v>3892</v>
      </c>
      <c r="F305" t="s">
        <v>3883</v>
      </c>
    </row>
    <row r="306" spans="2:6">
      <c r="B306" t="s">
        <v>75</v>
      </c>
      <c r="C306" t="s">
        <v>2976</v>
      </c>
      <c r="D306" t="s">
        <v>3402</v>
      </c>
      <c r="E306" t="s">
        <v>1894</v>
      </c>
      <c r="F306" t="s">
        <v>4221</v>
      </c>
    </row>
    <row r="307" spans="2:6">
      <c r="B307" t="s">
        <v>81</v>
      </c>
      <c r="C307" t="s">
        <v>2955</v>
      </c>
      <c r="D307" t="s">
        <v>3402</v>
      </c>
      <c r="E307" t="s">
        <v>3818</v>
      </c>
      <c r="F307" t="s">
        <v>4208</v>
      </c>
    </row>
    <row r="308" spans="2:6">
      <c r="B308" t="s">
        <v>74</v>
      </c>
      <c r="C308" t="s">
        <v>2925</v>
      </c>
      <c r="D308" t="s">
        <v>3375</v>
      </c>
      <c r="E308" t="s">
        <v>3796</v>
      </c>
      <c r="F308" t="s">
        <v>4184</v>
      </c>
    </row>
    <row r="309" spans="2:6">
      <c r="B309" t="s">
        <v>831</v>
      </c>
      <c r="C309" t="s">
        <v>3202</v>
      </c>
      <c r="D309" t="s">
        <v>3614</v>
      </c>
      <c r="E309" t="s">
        <v>3049</v>
      </c>
      <c r="F309" t="s">
        <v>3047</v>
      </c>
    </row>
    <row r="310" spans="2:6">
      <c r="B310" t="s">
        <v>809</v>
      </c>
      <c r="C310" t="s">
        <v>2919</v>
      </c>
      <c r="D310" t="s">
        <v>3372</v>
      </c>
      <c r="E310" t="s">
        <v>3790</v>
      </c>
      <c r="F310" t="s">
        <v>4178</v>
      </c>
    </row>
    <row r="311" spans="2:6">
      <c r="B311" t="s">
        <v>500</v>
      </c>
      <c r="C311" t="s">
        <v>3020</v>
      </c>
      <c r="D311" t="s">
        <v>3453</v>
      </c>
      <c r="E311" t="s">
        <v>3868</v>
      </c>
      <c r="F311" t="s">
        <v>3846</v>
      </c>
    </row>
    <row r="312" spans="2:6">
      <c r="B312" t="s">
        <v>236</v>
      </c>
      <c r="C312" t="s">
        <v>2988</v>
      </c>
      <c r="D312" t="s">
        <v>3428</v>
      </c>
      <c r="E312" t="s">
        <v>3845</v>
      </c>
      <c r="F312" t="s">
        <v>4234</v>
      </c>
    </row>
    <row r="313" spans="2:6">
      <c r="B313" t="s">
        <v>334</v>
      </c>
      <c r="C313" t="s">
        <v>3150</v>
      </c>
      <c r="D313" t="s">
        <v>3567</v>
      </c>
      <c r="E313" t="s">
        <v>3965</v>
      </c>
      <c r="F313" t="s">
        <v>4343</v>
      </c>
    </row>
    <row r="314" spans="2:6">
      <c r="B314" t="s">
        <v>162</v>
      </c>
      <c r="C314" t="s">
        <v>3050</v>
      </c>
      <c r="D314" t="s">
        <v>3034</v>
      </c>
      <c r="E314" t="s">
        <v>859</v>
      </c>
      <c r="F314" t="s">
        <v>4266</v>
      </c>
    </row>
    <row r="315" spans="2:6">
      <c r="B315" t="s">
        <v>344</v>
      </c>
      <c r="C315" t="s">
        <v>3068</v>
      </c>
      <c r="D315" t="s">
        <v>3491</v>
      </c>
      <c r="E315" t="s">
        <v>3895</v>
      </c>
      <c r="F315" t="s">
        <v>4275</v>
      </c>
    </row>
    <row r="316" spans="2:6">
      <c r="B316" t="s">
        <v>241</v>
      </c>
      <c r="C316" t="s">
        <v>3075</v>
      </c>
      <c r="D316" t="s">
        <v>3497</v>
      </c>
      <c r="E316" t="s">
        <v>1401</v>
      </c>
      <c r="F316" t="s">
        <v>4281</v>
      </c>
    </row>
    <row r="317" spans="2:6">
      <c r="B317" t="s">
        <v>379</v>
      </c>
      <c r="C317" t="s">
        <v>3282</v>
      </c>
      <c r="D317" t="s">
        <v>3700</v>
      </c>
      <c r="E317" t="s">
        <v>4093</v>
      </c>
      <c r="F317" t="s">
        <v>4461</v>
      </c>
    </row>
    <row r="318" spans="2:6">
      <c r="B318" t="s">
        <v>342</v>
      </c>
      <c r="C318" t="s">
        <v>3076</v>
      </c>
      <c r="D318" t="s">
        <v>3498</v>
      </c>
      <c r="E318" t="s">
        <v>3901</v>
      </c>
      <c r="F318" t="s">
        <v>4282</v>
      </c>
    </row>
    <row r="319" spans="2:6">
      <c r="B319" t="s">
        <v>441</v>
      </c>
      <c r="C319" t="s">
        <v>3167</v>
      </c>
      <c r="D319" t="s">
        <v>3582</v>
      </c>
      <c r="E319" t="s">
        <v>3980</v>
      </c>
      <c r="F319" t="s">
        <v>2409</v>
      </c>
    </row>
    <row r="320" spans="2:6">
      <c r="B320" t="s">
        <v>289</v>
      </c>
      <c r="C320" t="s">
        <v>3209</v>
      </c>
      <c r="D320" t="s">
        <v>3621</v>
      </c>
      <c r="E320" t="s">
        <v>4018</v>
      </c>
      <c r="F320" t="s">
        <v>4392</v>
      </c>
    </row>
    <row r="321" spans="2:6">
      <c r="B321" t="s">
        <v>196</v>
      </c>
      <c r="C321" t="s">
        <v>2991</v>
      </c>
      <c r="D321" t="s">
        <v>3430</v>
      </c>
      <c r="E321" t="s">
        <v>3847</v>
      </c>
      <c r="F321" t="s">
        <v>4237</v>
      </c>
    </row>
    <row r="322" spans="2:6">
      <c r="B322" t="s">
        <v>210</v>
      </c>
      <c r="C322" t="s">
        <v>2956</v>
      </c>
      <c r="D322" t="s">
        <v>3403</v>
      </c>
      <c r="E322" t="s">
        <v>3395</v>
      </c>
      <c r="F322" t="s">
        <v>4209</v>
      </c>
    </row>
    <row r="323" spans="2:6">
      <c r="B323" t="s">
        <v>232</v>
      </c>
      <c r="C323" t="s">
        <v>2989</v>
      </c>
      <c r="D323" t="s">
        <v>2977</v>
      </c>
      <c r="E323" t="s">
        <v>2970</v>
      </c>
      <c r="F323" t="s">
        <v>4235</v>
      </c>
    </row>
    <row r="324" spans="2:6">
      <c r="B324" t="s">
        <v>410</v>
      </c>
      <c r="C324" t="s">
        <v>2983</v>
      </c>
      <c r="D324" t="s">
        <v>2975</v>
      </c>
      <c r="E324" t="s">
        <v>3838</v>
      </c>
      <c r="F324" t="s">
        <v>4229</v>
      </c>
    </row>
    <row r="325" spans="2:6">
      <c r="B325" t="s">
        <v>181</v>
      </c>
      <c r="C325" t="s">
        <v>3077</v>
      </c>
      <c r="D325" t="s">
        <v>3499</v>
      </c>
      <c r="E325" t="s">
        <v>870</v>
      </c>
      <c r="F325" t="s">
        <v>3053</v>
      </c>
    </row>
    <row r="326" spans="2:6">
      <c r="B326" t="s">
        <v>33</v>
      </c>
      <c r="C326" t="s">
        <v>2930</v>
      </c>
      <c r="D326" t="s">
        <v>3380</v>
      </c>
      <c r="E326" t="s">
        <v>3799</v>
      </c>
      <c r="F326" t="s">
        <v>4189</v>
      </c>
    </row>
    <row r="327" spans="2:6">
      <c r="B327" t="s">
        <v>298</v>
      </c>
      <c r="C327" t="s">
        <v>3129</v>
      </c>
      <c r="D327" t="s">
        <v>3546</v>
      </c>
      <c r="E327" t="s">
        <v>3944</v>
      </c>
      <c r="F327" t="s">
        <v>4323</v>
      </c>
    </row>
    <row r="328" spans="2:6">
      <c r="B328" t="s">
        <v>278</v>
      </c>
      <c r="C328" t="s">
        <v>3164</v>
      </c>
      <c r="D328" t="s">
        <v>3579</v>
      </c>
      <c r="E328" t="s">
        <v>3977</v>
      </c>
      <c r="F328" t="s">
        <v>4353</v>
      </c>
    </row>
    <row r="329" spans="2:6">
      <c r="B329" t="s">
        <v>49</v>
      </c>
      <c r="C329" t="s">
        <v>2986</v>
      </c>
      <c r="D329" t="s">
        <v>3426</v>
      </c>
      <c r="E329" t="s">
        <v>3843</v>
      </c>
      <c r="F329" t="s">
        <v>4232</v>
      </c>
    </row>
    <row r="330" spans="2:6">
      <c r="B330" t="s">
        <v>821</v>
      </c>
      <c r="C330" t="s">
        <v>3188</v>
      </c>
      <c r="D330" t="s">
        <v>3600</v>
      </c>
      <c r="E330" t="s">
        <v>3998</v>
      </c>
      <c r="F330" t="s">
        <v>4373</v>
      </c>
    </row>
    <row r="331" spans="2:6">
      <c r="B331" t="s">
        <v>149</v>
      </c>
      <c r="C331" t="s">
        <v>3160</v>
      </c>
      <c r="D331" t="s">
        <v>3577</v>
      </c>
      <c r="E331" t="s">
        <v>3577</v>
      </c>
      <c r="F331" t="s">
        <v>3577</v>
      </c>
    </row>
    <row r="332" spans="2:6">
      <c r="B332" t="s">
        <v>190</v>
      </c>
      <c r="C332" t="s">
        <v>2915</v>
      </c>
      <c r="D332" t="s">
        <v>3368</v>
      </c>
      <c r="E332" t="s">
        <v>3787</v>
      </c>
      <c r="F332" t="s">
        <v>4174</v>
      </c>
    </row>
    <row r="333" spans="2:6">
      <c r="B333" t="s">
        <v>184</v>
      </c>
      <c r="C333" t="s">
        <v>3286</v>
      </c>
      <c r="D333" t="s">
        <v>3704</v>
      </c>
      <c r="E333" t="s">
        <v>4097</v>
      </c>
      <c r="F333" t="s">
        <v>4465</v>
      </c>
    </row>
    <row r="334" spans="2:6">
      <c r="B334" t="s">
        <v>451</v>
      </c>
      <c r="C334" t="s">
        <v>3305</v>
      </c>
      <c r="D334" t="s">
        <v>3723</v>
      </c>
      <c r="E334" t="s">
        <v>4116</v>
      </c>
      <c r="F334" t="s">
        <v>4484</v>
      </c>
    </row>
    <row r="335" spans="2:6">
      <c r="B335" t="s">
        <v>812</v>
      </c>
      <c r="C335" t="s">
        <v>2876</v>
      </c>
      <c r="D335" t="s">
        <v>3329</v>
      </c>
      <c r="E335" t="s">
        <v>3747</v>
      </c>
      <c r="F335" t="s">
        <v>3748</v>
      </c>
    </row>
    <row r="336" spans="2:6">
      <c r="B336" t="s">
        <v>38</v>
      </c>
      <c r="C336" t="s">
        <v>2921</v>
      </c>
      <c r="D336" t="s">
        <v>3373</v>
      </c>
      <c r="E336" t="s">
        <v>3792</v>
      </c>
      <c r="F336" t="s">
        <v>4180</v>
      </c>
    </row>
    <row r="337" spans="2:6">
      <c r="B337" t="s">
        <v>816</v>
      </c>
      <c r="C337" t="s">
        <v>2969</v>
      </c>
      <c r="D337" t="s">
        <v>3412</v>
      </c>
      <c r="E337" t="s">
        <v>3420</v>
      </c>
      <c r="F337" t="s">
        <v>1387</v>
      </c>
    </row>
    <row r="338" spans="2:6">
      <c r="B338" t="s">
        <v>820</v>
      </c>
      <c r="C338" t="s">
        <v>3110</v>
      </c>
      <c r="D338" t="s">
        <v>3527</v>
      </c>
      <c r="E338" t="s">
        <v>1898</v>
      </c>
      <c r="F338" t="s">
        <v>859</v>
      </c>
    </row>
    <row r="339" spans="2:6">
      <c r="B339" t="s">
        <v>817</v>
      </c>
      <c r="C339" t="s">
        <v>2948</v>
      </c>
      <c r="D339" t="s">
        <v>3397</v>
      </c>
      <c r="E339" t="s">
        <v>3814</v>
      </c>
      <c r="F339" t="s">
        <v>4203</v>
      </c>
    </row>
    <row r="340" spans="2:6">
      <c r="B340" t="s">
        <v>29</v>
      </c>
      <c r="C340" t="s">
        <v>1390</v>
      </c>
      <c r="D340" t="s">
        <v>3463</v>
      </c>
      <c r="E340" t="s">
        <v>3877</v>
      </c>
      <c r="F340" t="s">
        <v>4258</v>
      </c>
    </row>
    <row r="341" spans="2:6">
      <c r="B341" t="s">
        <v>43</v>
      </c>
      <c r="C341" t="s">
        <v>2918</v>
      </c>
      <c r="D341" t="s">
        <v>3371</v>
      </c>
      <c r="E341" t="s">
        <v>2914</v>
      </c>
      <c r="F341" t="s">
        <v>4177</v>
      </c>
    </row>
    <row r="342" spans="2:6">
      <c r="B342" t="s">
        <v>426</v>
      </c>
      <c r="C342" t="s">
        <v>3104</v>
      </c>
      <c r="D342" t="s">
        <v>3521</v>
      </c>
      <c r="E342" t="s">
        <v>3921</v>
      </c>
      <c r="F342" t="s">
        <v>4301</v>
      </c>
    </row>
    <row r="343" spans="2:6">
      <c r="B343" t="s">
        <v>240</v>
      </c>
      <c r="C343" t="s">
        <v>2944</v>
      </c>
      <c r="D343" t="s">
        <v>2970</v>
      </c>
      <c r="E343" t="s">
        <v>3811</v>
      </c>
      <c r="F343" t="s">
        <v>4199</v>
      </c>
    </row>
    <row r="344" spans="2:6">
      <c r="B344" t="s">
        <v>291</v>
      </c>
      <c r="C344" t="s">
        <v>2403</v>
      </c>
      <c r="D344" t="s">
        <v>2410</v>
      </c>
      <c r="E344" t="s">
        <v>867</v>
      </c>
      <c r="F344" t="s">
        <v>3886</v>
      </c>
    </row>
    <row r="345" spans="2:6">
      <c r="B345" t="s">
        <v>205</v>
      </c>
      <c r="C345" t="s">
        <v>3027</v>
      </c>
      <c r="D345" t="s">
        <v>3449</v>
      </c>
      <c r="E345" t="s">
        <v>3447</v>
      </c>
      <c r="F345" t="s">
        <v>3866</v>
      </c>
    </row>
    <row r="346" spans="2:6">
      <c r="B346" t="s">
        <v>284</v>
      </c>
      <c r="C346" t="s">
        <v>3063</v>
      </c>
      <c r="D346" t="s">
        <v>3486</v>
      </c>
      <c r="E346" t="s">
        <v>3890</v>
      </c>
      <c r="F346" t="s">
        <v>1400</v>
      </c>
    </row>
    <row r="347" spans="2:6">
      <c r="B347" t="s">
        <v>331</v>
      </c>
      <c r="C347" t="s">
        <v>3113</v>
      </c>
      <c r="D347" t="s">
        <v>3530</v>
      </c>
      <c r="E347" t="s">
        <v>3929</v>
      </c>
      <c r="F347" t="s">
        <v>4309</v>
      </c>
    </row>
    <row r="348" spans="2:6">
      <c r="B348" t="s">
        <v>285</v>
      </c>
      <c r="C348" t="s">
        <v>3168</v>
      </c>
      <c r="D348" t="s">
        <v>3583</v>
      </c>
      <c r="E348" t="s">
        <v>3981</v>
      </c>
      <c r="F348" t="s">
        <v>4356</v>
      </c>
    </row>
    <row r="349" spans="2:6">
      <c r="B349" t="s">
        <v>62</v>
      </c>
      <c r="C349" t="s">
        <v>2898</v>
      </c>
      <c r="D349" t="s">
        <v>3350</v>
      </c>
      <c r="E349" t="s">
        <v>3769</v>
      </c>
      <c r="F349" t="s">
        <v>4158</v>
      </c>
    </row>
    <row r="350" spans="2:6">
      <c r="B350" t="s">
        <v>218</v>
      </c>
      <c r="C350" t="s">
        <v>3036</v>
      </c>
      <c r="D350" t="s">
        <v>3034</v>
      </c>
      <c r="E350" t="s">
        <v>3880</v>
      </c>
      <c r="F350" t="s">
        <v>1442</v>
      </c>
    </row>
    <row r="351" spans="2:6">
      <c r="B351" t="s">
        <v>211</v>
      </c>
      <c r="C351" t="s">
        <v>3268</v>
      </c>
      <c r="D351" t="s">
        <v>3686</v>
      </c>
      <c r="E351" t="s">
        <v>4079</v>
      </c>
      <c r="F351" t="s">
        <v>4447</v>
      </c>
    </row>
    <row r="352" spans="2:6">
      <c r="B352" t="s">
        <v>242</v>
      </c>
      <c r="C352" t="s">
        <v>3111</v>
      </c>
      <c r="D352" t="s">
        <v>3528</v>
      </c>
      <c r="E352" t="s">
        <v>3927</v>
      </c>
      <c r="F352" t="s">
        <v>4307</v>
      </c>
    </row>
    <row r="353" spans="2:6">
      <c r="B353" t="s">
        <v>362</v>
      </c>
      <c r="C353" t="s">
        <v>3109</v>
      </c>
      <c r="D353" t="s">
        <v>3526</v>
      </c>
      <c r="E353" t="s">
        <v>3926</v>
      </c>
      <c r="F353" t="s">
        <v>4306</v>
      </c>
    </row>
    <row r="354" spans="2:6">
      <c r="B354" t="s">
        <v>827</v>
      </c>
      <c r="C354" t="s">
        <v>3260</v>
      </c>
      <c r="D354" t="s">
        <v>3679</v>
      </c>
      <c r="E354" t="s">
        <v>4074</v>
      </c>
      <c r="F354" t="s">
        <v>3051</v>
      </c>
    </row>
    <row r="355" spans="2:6">
      <c r="B355" t="s">
        <v>116</v>
      </c>
      <c r="C355" t="s">
        <v>3011</v>
      </c>
      <c r="D355" t="s">
        <v>3444</v>
      </c>
      <c r="E355" t="s">
        <v>3859</v>
      </c>
      <c r="F355" t="s">
        <v>4248</v>
      </c>
    </row>
    <row r="356" spans="2:6">
      <c r="B356" t="s">
        <v>158</v>
      </c>
      <c r="C356" t="s">
        <v>3036</v>
      </c>
      <c r="D356" t="s">
        <v>3464</v>
      </c>
      <c r="E356" t="s">
        <v>3464</v>
      </c>
      <c r="F356" t="s">
        <v>3464</v>
      </c>
    </row>
    <row r="357" spans="2:6">
      <c r="B357" t="s">
        <v>394</v>
      </c>
      <c r="C357" t="s">
        <v>3229</v>
      </c>
      <c r="D357" t="s">
        <v>3643</v>
      </c>
      <c r="E357" t="s">
        <v>4040</v>
      </c>
      <c r="F357" t="s">
        <v>4040</v>
      </c>
    </row>
    <row r="358" spans="2:6">
      <c r="B358" t="s">
        <v>98</v>
      </c>
      <c r="C358" t="s">
        <v>3043</v>
      </c>
      <c r="D358" t="s">
        <v>1899</v>
      </c>
      <c r="E358" t="s">
        <v>1902</v>
      </c>
      <c r="F358" t="s">
        <v>3051</v>
      </c>
    </row>
    <row r="359" spans="2:6">
      <c r="B359" t="s">
        <v>86</v>
      </c>
      <c r="C359" t="s">
        <v>3030</v>
      </c>
      <c r="D359" t="s">
        <v>3025</v>
      </c>
      <c r="E359" t="s">
        <v>855</v>
      </c>
      <c r="F359" t="s">
        <v>3874</v>
      </c>
    </row>
    <row r="360" spans="2:6">
      <c r="B360" t="s">
        <v>466</v>
      </c>
      <c r="C360" t="s">
        <v>3107</v>
      </c>
      <c r="D360" t="s">
        <v>3524</v>
      </c>
      <c r="E360" t="s">
        <v>3924</v>
      </c>
      <c r="F360" t="s">
        <v>4304</v>
      </c>
    </row>
    <row r="361" spans="2:6">
      <c r="B361" t="s">
        <v>90</v>
      </c>
      <c r="C361" t="s">
        <v>2966</v>
      </c>
      <c r="D361" t="s">
        <v>3411</v>
      </c>
      <c r="E361" t="s">
        <v>3826</v>
      </c>
      <c r="F361" t="s">
        <v>2408</v>
      </c>
    </row>
    <row r="362" spans="2:6">
      <c r="B362" t="s">
        <v>204</v>
      </c>
      <c r="C362" t="s">
        <v>3031</v>
      </c>
      <c r="D362" t="s">
        <v>1875</v>
      </c>
      <c r="E362" t="s">
        <v>3875</v>
      </c>
      <c r="F362" t="s">
        <v>1391</v>
      </c>
    </row>
    <row r="363" spans="2:6">
      <c r="B363" t="s">
        <v>414</v>
      </c>
      <c r="C363" t="s">
        <v>865</v>
      </c>
      <c r="D363" t="s">
        <v>2837</v>
      </c>
      <c r="E363" t="s">
        <v>3473</v>
      </c>
      <c r="F363" t="s">
        <v>3477</v>
      </c>
    </row>
    <row r="364" spans="2:6">
      <c r="B364" t="s">
        <v>119</v>
      </c>
      <c r="C364" t="s">
        <v>3256</v>
      </c>
      <c r="D364" t="s">
        <v>3672</v>
      </c>
      <c r="E364" t="s">
        <v>1132</v>
      </c>
      <c r="F364" t="s">
        <v>4436</v>
      </c>
    </row>
    <row r="365" spans="2:6">
      <c r="B365" t="s">
        <v>22</v>
      </c>
      <c r="C365" t="s">
        <v>2902</v>
      </c>
      <c r="D365" t="s">
        <v>3354</v>
      </c>
      <c r="E365" t="s">
        <v>3773</v>
      </c>
      <c r="F365" t="s">
        <v>4161</v>
      </c>
    </row>
    <row r="366" spans="2:6">
      <c r="B366" t="s">
        <v>469</v>
      </c>
      <c r="C366" t="s">
        <v>3023</v>
      </c>
      <c r="D366" t="s">
        <v>3456</v>
      </c>
      <c r="E366" t="s">
        <v>2430</v>
      </c>
      <c r="F366" t="s">
        <v>3446</v>
      </c>
    </row>
    <row r="367" spans="2:6">
      <c r="B367" t="s">
        <v>68</v>
      </c>
      <c r="C367" t="s">
        <v>3272</v>
      </c>
      <c r="D367" t="s">
        <v>3690</v>
      </c>
      <c r="E367" t="s">
        <v>4083</v>
      </c>
      <c r="F367" t="s">
        <v>4451</v>
      </c>
    </row>
    <row r="368" spans="2:6">
      <c r="B368" t="s">
        <v>329</v>
      </c>
      <c r="C368" t="s">
        <v>2979</v>
      </c>
      <c r="D368" t="s">
        <v>3418</v>
      </c>
      <c r="E368" t="s">
        <v>3831</v>
      </c>
      <c r="F368" t="s">
        <v>4223</v>
      </c>
    </row>
    <row r="369" spans="2:6">
      <c r="B369" t="s">
        <v>491</v>
      </c>
      <c r="C369" t="s">
        <v>2837</v>
      </c>
      <c r="D369" t="s">
        <v>1899</v>
      </c>
      <c r="E369" t="s">
        <v>3026</v>
      </c>
      <c r="F369" t="s">
        <v>3025</v>
      </c>
    </row>
    <row r="370" spans="2:6">
      <c r="B370" t="s">
        <v>118</v>
      </c>
      <c r="C370" t="s">
        <v>3027</v>
      </c>
      <c r="D370" t="s">
        <v>3458</v>
      </c>
      <c r="E370" t="s">
        <v>3872</v>
      </c>
      <c r="F370" t="s">
        <v>3029</v>
      </c>
    </row>
    <row r="371" spans="2:6">
      <c r="B371" t="s">
        <v>260</v>
      </c>
      <c r="C371" t="s">
        <v>3062</v>
      </c>
      <c r="D371" t="s">
        <v>3485</v>
      </c>
      <c r="E371" t="s">
        <v>3889</v>
      </c>
      <c r="F371" t="s">
        <v>4271</v>
      </c>
    </row>
    <row r="372" spans="2:6">
      <c r="B372" t="s">
        <v>292</v>
      </c>
      <c r="C372" t="s">
        <v>3092</v>
      </c>
      <c r="D372" t="s">
        <v>3512</v>
      </c>
      <c r="E372" t="s">
        <v>3912</v>
      </c>
      <c r="F372" t="s">
        <v>2375</v>
      </c>
    </row>
    <row r="373" spans="2:6">
      <c r="B373" t="s">
        <v>61</v>
      </c>
      <c r="C373" t="s">
        <v>3304</v>
      </c>
      <c r="D373" t="s">
        <v>3722</v>
      </c>
      <c r="E373" t="s">
        <v>4115</v>
      </c>
      <c r="F373" t="s">
        <v>4483</v>
      </c>
    </row>
    <row r="374" spans="2:6">
      <c r="B374" t="s">
        <v>94</v>
      </c>
      <c r="C374" t="s">
        <v>3300</v>
      </c>
      <c r="D374" t="s">
        <v>3718</v>
      </c>
      <c r="E374" t="s">
        <v>4111</v>
      </c>
      <c r="F374" t="s">
        <v>4479</v>
      </c>
    </row>
    <row r="375" spans="2:6">
      <c r="B375" t="s">
        <v>417</v>
      </c>
      <c r="C375" t="s">
        <v>3127</v>
      </c>
      <c r="D375" t="s">
        <v>3544</v>
      </c>
      <c r="E375" t="s">
        <v>3942</v>
      </c>
      <c r="F375" t="s">
        <v>4321</v>
      </c>
    </row>
    <row r="376" spans="2:6">
      <c r="B376" t="s">
        <v>193</v>
      </c>
      <c r="C376" t="s">
        <v>3213</v>
      </c>
      <c r="D376" t="s">
        <v>3625</v>
      </c>
      <c r="E376" t="s">
        <v>4022</v>
      </c>
      <c r="F376" t="s">
        <v>4396</v>
      </c>
    </row>
    <row r="377" spans="2:6">
      <c r="B377" t="s">
        <v>283</v>
      </c>
      <c r="C377" t="s">
        <v>2996</v>
      </c>
      <c r="D377" t="s">
        <v>3432</v>
      </c>
      <c r="E377" t="s">
        <v>1387</v>
      </c>
      <c r="F377" t="s">
        <v>4239</v>
      </c>
    </row>
    <row r="378" spans="2:6">
      <c r="B378" t="s">
        <v>424</v>
      </c>
      <c r="C378" t="s">
        <v>3199</v>
      </c>
      <c r="D378" t="s">
        <v>3611</v>
      </c>
      <c r="E378" t="s">
        <v>4009</v>
      </c>
      <c r="F378" t="s">
        <v>4384</v>
      </c>
    </row>
    <row r="379" spans="2:6">
      <c r="B379" t="s">
        <v>31</v>
      </c>
      <c r="C379" t="s">
        <v>3042</v>
      </c>
      <c r="D379" t="s">
        <v>3472</v>
      </c>
      <c r="E379" t="s">
        <v>1393</v>
      </c>
      <c r="F379" t="s">
        <v>1908</v>
      </c>
    </row>
    <row r="380" spans="2:6">
      <c r="B380" t="s">
        <v>154</v>
      </c>
      <c r="C380" t="s">
        <v>3189</v>
      </c>
      <c r="D380" t="s">
        <v>3601</v>
      </c>
      <c r="E380" t="s">
        <v>3999</v>
      </c>
      <c r="F380" t="s">
        <v>4374</v>
      </c>
    </row>
    <row r="381" spans="2:6">
      <c r="B381" t="s">
        <v>432</v>
      </c>
      <c r="C381" t="s">
        <v>3074</v>
      </c>
      <c r="D381" t="s">
        <v>3050</v>
      </c>
      <c r="E381" t="s">
        <v>3041</v>
      </c>
      <c r="F381" t="s">
        <v>1899</v>
      </c>
    </row>
    <row r="382" spans="2:6">
      <c r="B382" t="s">
        <v>404</v>
      </c>
      <c r="C382" t="s">
        <v>3000</v>
      </c>
      <c r="D382" t="s">
        <v>2992</v>
      </c>
      <c r="E382" t="s">
        <v>3851</v>
      </c>
      <c r="F382" t="s">
        <v>4240</v>
      </c>
    </row>
    <row r="383" spans="2:6">
      <c r="B383" t="s">
        <v>325</v>
      </c>
      <c r="C383" t="s">
        <v>3149</v>
      </c>
      <c r="D383" t="s">
        <v>3566</v>
      </c>
      <c r="E383" t="s">
        <v>3964</v>
      </c>
      <c r="F383" t="s">
        <v>4342</v>
      </c>
    </row>
    <row r="384" spans="2:6">
      <c r="B384" t="s">
        <v>402</v>
      </c>
      <c r="C384" t="s">
        <v>2981</v>
      </c>
      <c r="D384" t="s">
        <v>3422</v>
      </c>
      <c r="E384" t="s">
        <v>3835</v>
      </c>
      <c r="F384" t="s">
        <v>4226</v>
      </c>
    </row>
    <row r="385" spans="2:6">
      <c r="B385" t="s">
        <v>401</v>
      </c>
      <c r="C385" t="s">
        <v>3138</v>
      </c>
      <c r="D385" t="s">
        <v>3555</v>
      </c>
      <c r="E385" t="s">
        <v>3953</v>
      </c>
      <c r="F385" t="s">
        <v>4331</v>
      </c>
    </row>
    <row r="386" spans="2:6">
      <c r="B386" t="s">
        <v>336</v>
      </c>
      <c r="C386" t="s">
        <v>861</v>
      </c>
      <c r="D386" t="s">
        <v>3043</v>
      </c>
      <c r="E386" t="s">
        <v>2850</v>
      </c>
      <c r="F386" t="s">
        <v>3870</v>
      </c>
    </row>
    <row r="387" spans="2:6">
      <c r="B387" t="s">
        <v>358</v>
      </c>
      <c r="C387" t="s">
        <v>3018</v>
      </c>
      <c r="D387" t="s">
        <v>3440</v>
      </c>
      <c r="E387" t="s">
        <v>3865</v>
      </c>
      <c r="F387" t="s">
        <v>4250</v>
      </c>
    </row>
    <row r="388" spans="2:6">
      <c r="B388" t="s">
        <v>65</v>
      </c>
      <c r="C388" t="s">
        <v>3277</v>
      </c>
      <c r="D388" t="s">
        <v>3695</v>
      </c>
      <c r="E388" t="s">
        <v>4088</v>
      </c>
      <c r="F388" t="s">
        <v>4456</v>
      </c>
    </row>
    <row r="389" spans="2:6">
      <c r="B389" t="s">
        <v>58</v>
      </c>
      <c r="C389" t="s">
        <v>2933</v>
      </c>
      <c r="D389" t="s">
        <v>3383</v>
      </c>
      <c r="E389" t="s">
        <v>3801</v>
      </c>
      <c r="F389" t="s">
        <v>4192</v>
      </c>
    </row>
    <row r="390" spans="2:6">
      <c r="B390" t="s">
        <v>7</v>
      </c>
      <c r="C390" t="s">
        <v>2886</v>
      </c>
      <c r="D390" t="s">
        <v>3338</v>
      </c>
      <c r="E390" t="s">
        <v>3757</v>
      </c>
      <c r="F390" t="s">
        <v>4148</v>
      </c>
    </row>
    <row r="391" spans="2:6">
      <c r="B391" t="s">
        <v>489</v>
      </c>
      <c r="C391" t="s">
        <v>873</v>
      </c>
      <c r="D391" t="s">
        <v>3480</v>
      </c>
      <c r="E391" t="s">
        <v>3887</v>
      </c>
      <c r="F391" t="s">
        <v>4269</v>
      </c>
    </row>
    <row r="392" spans="2:6">
      <c r="B392" t="s">
        <v>14</v>
      </c>
      <c r="C392" t="s">
        <v>2935</v>
      </c>
      <c r="D392" t="s">
        <v>3384</v>
      </c>
      <c r="E392" t="s">
        <v>3802</v>
      </c>
      <c r="F392" t="s">
        <v>4193</v>
      </c>
    </row>
    <row r="393" spans="2:6">
      <c r="B393" t="s">
        <v>270</v>
      </c>
      <c r="C393" t="s">
        <v>3088</v>
      </c>
      <c r="D393" t="s">
        <v>3509</v>
      </c>
      <c r="E393" t="s">
        <v>3910</v>
      </c>
      <c r="F393" t="s">
        <v>4292</v>
      </c>
    </row>
    <row r="394" spans="2:6">
      <c r="B394" t="s">
        <v>364</v>
      </c>
      <c r="C394" t="s">
        <v>3220</v>
      </c>
      <c r="D394" t="s">
        <v>3633</v>
      </c>
      <c r="E394" t="s">
        <v>4030</v>
      </c>
      <c r="F394" t="s">
        <v>4403</v>
      </c>
    </row>
    <row r="395" spans="2:6">
      <c r="B395" t="s">
        <v>438</v>
      </c>
      <c r="C395" t="s">
        <v>3208</v>
      </c>
      <c r="D395" t="s">
        <v>3620</v>
      </c>
      <c r="E395" t="s">
        <v>4017</v>
      </c>
      <c r="F395" t="s">
        <v>4391</v>
      </c>
    </row>
    <row r="396" spans="2:6">
      <c r="B396" t="s">
        <v>208</v>
      </c>
      <c r="C396" t="s">
        <v>3041</v>
      </c>
      <c r="D396" t="s">
        <v>1393</v>
      </c>
      <c r="E396" t="s">
        <v>3473</v>
      </c>
      <c r="F396" t="s">
        <v>3469</v>
      </c>
    </row>
    <row r="397" spans="2:6">
      <c r="B397" t="s">
        <v>494</v>
      </c>
      <c r="C397" t="s">
        <v>3223</v>
      </c>
      <c r="D397" t="s">
        <v>3636</v>
      </c>
      <c r="E397" t="s">
        <v>4033</v>
      </c>
      <c r="F397" t="s">
        <v>4406</v>
      </c>
    </row>
    <row r="398" spans="2:6">
      <c r="B398" t="s">
        <v>281</v>
      </c>
      <c r="C398" t="s">
        <v>3207</v>
      </c>
      <c r="D398" t="s">
        <v>3619</v>
      </c>
      <c r="E398" t="s">
        <v>4016</v>
      </c>
      <c r="F398" t="s">
        <v>4390</v>
      </c>
    </row>
    <row r="399" spans="2:6">
      <c r="B399" t="s">
        <v>230</v>
      </c>
      <c r="C399" t="s">
        <v>1899</v>
      </c>
      <c r="D399" t="s">
        <v>3467</v>
      </c>
      <c r="E399" t="s">
        <v>861</v>
      </c>
      <c r="F399" t="s">
        <v>2427</v>
      </c>
    </row>
    <row r="400" spans="2:6">
      <c r="B400" t="s">
        <v>268</v>
      </c>
      <c r="C400" t="s">
        <v>3219</v>
      </c>
      <c r="D400" t="s">
        <v>3632</v>
      </c>
      <c r="E400" t="s">
        <v>4029</v>
      </c>
      <c r="F400" t="s">
        <v>4402</v>
      </c>
    </row>
    <row r="401" spans="2:6">
      <c r="B401" t="s">
        <v>192</v>
      </c>
      <c r="C401" t="s">
        <v>2992</v>
      </c>
      <c r="D401" t="s">
        <v>3431</v>
      </c>
      <c r="E401" t="s">
        <v>1895</v>
      </c>
      <c r="F401" t="s">
        <v>3870</v>
      </c>
    </row>
    <row r="402" spans="2:6">
      <c r="B402" t="s">
        <v>100</v>
      </c>
      <c r="C402" t="s">
        <v>2962</v>
      </c>
      <c r="D402" t="s">
        <v>3407</v>
      </c>
      <c r="E402" t="s">
        <v>3822</v>
      </c>
      <c r="F402" t="s">
        <v>4214</v>
      </c>
    </row>
    <row r="403" spans="2:6">
      <c r="B403" t="s">
        <v>376</v>
      </c>
      <c r="C403" t="s">
        <v>3106</v>
      </c>
      <c r="D403" t="s">
        <v>3523</v>
      </c>
      <c r="E403" t="s">
        <v>3923</v>
      </c>
      <c r="F403" t="s">
        <v>4303</v>
      </c>
    </row>
    <row r="404" spans="2:6">
      <c r="B404" t="s">
        <v>308</v>
      </c>
      <c r="C404" t="s">
        <v>3105</v>
      </c>
      <c r="D404" t="s">
        <v>3522</v>
      </c>
      <c r="E404" t="s">
        <v>3922</v>
      </c>
      <c r="F404" t="s">
        <v>4302</v>
      </c>
    </row>
    <row r="405" spans="2:6">
      <c r="B405" t="s">
        <v>26</v>
      </c>
      <c r="C405" t="s">
        <v>2943</v>
      </c>
      <c r="D405" t="s">
        <v>3392</v>
      </c>
      <c r="E405" t="s">
        <v>3810</v>
      </c>
      <c r="F405" t="s">
        <v>4198</v>
      </c>
    </row>
    <row r="406" spans="2:6">
      <c r="B406" t="s">
        <v>433</v>
      </c>
      <c r="C406" t="s">
        <v>2412</v>
      </c>
      <c r="D406" t="s">
        <v>1378</v>
      </c>
      <c r="E406" t="s">
        <v>3862</v>
      </c>
      <c r="F406" t="s">
        <v>4254</v>
      </c>
    </row>
    <row r="407" spans="2:6">
      <c r="B407" t="s">
        <v>437</v>
      </c>
      <c r="C407" t="s">
        <v>3224</v>
      </c>
      <c r="D407" t="s">
        <v>3637</v>
      </c>
      <c r="E407" t="s">
        <v>4034</v>
      </c>
      <c r="F407" t="s">
        <v>4407</v>
      </c>
    </row>
    <row r="408" spans="2:6">
      <c r="B408" t="s">
        <v>221</v>
      </c>
      <c r="C408" t="s">
        <v>3182</v>
      </c>
      <c r="D408" t="s">
        <v>3595</v>
      </c>
      <c r="E408" t="s">
        <v>3993</v>
      </c>
      <c r="F408" t="s">
        <v>4369</v>
      </c>
    </row>
    <row r="409" spans="2:6">
      <c r="B409" t="s">
        <v>46</v>
      </c>
      <c r="C409" t="s">
        <v>1892</v>
      </c>
      <c r="D409" t="s">
        <v>3420</v>
      </c>
      <c r="E409" t="s">
        <v>3833</v>
      </c>
      <c r="F409" t="s">
        <v>2965</v>
      </c>
    </row>
    <row r="410" spans="2:6">
      <c r="B410" t="s">
        <v>823</v>
      </c>
      <c r="C410" t="s">
        <v>3016</v>
      </c>
      <c r="D410" t="s">
        <v>3449</v>
      </c>
      <c r="E410" t="s">
        <v>3863</v>
      </c>
      <c r="F410" t="s">
        <v>3035</v>
      </c>
    </row>
    <row r="411" spans="2:6">
      <c r="B411" t="s">
        <v>216</v>
      </c>
      <c r="C411" t="s">
        <v>3094</v>
      </c>
      <c r="D411" t="s">
        <v>3514</v>
      </c>
      <c r="E411" t="s">
        <v>3914</v>
      </c>
      <c r="F411" t="s">
        <v>4295</v>
      </c>
    </row>
    <row r="412" spans="2:6">
      <c r="B412" t="s">
        <v>431</v>
      </c>
      <c r="C412" t="s">
        <v>3222</v>
      </c>
      <c r="D412" t="s">
        <v>3635</v>
      </c>
      <c r="E412" t="s">
        <v>4032</v>
      </c>
      <c r="F412" t="s">
        <v>4405</v>
      </c>
    </row>
    <row r="413" spans="2:6">
      <c r="B413" t="s">
        <v>209</v>
      </c>
      <c r="C413" t="s">
        <v>3309</v>
      </c>
      <c r="D413" t="s">
        <v>3727</v>
      </c>
      <c r="E413" t="s">
        <v>4120</v>
      </c>
      <c r="F413" t="s">
        <v>4487</v>
      </c>
    </row>
    <row r="414" spans="2:6">
      <c r="B414" t="s">
        <v>248</v>
      </c>
      <c r="C414" t="s">
        <v>3052</v>
      </c>
      <c r="D414" t="s">
        <v>3478</v>
      </c>
      <c r="E414" t="s">
        <v>1393</v>
      </c>
      <c r="F414" t="s">
        <v>3039</v>
      </c>
    </row>
    <row r="415" spans="2:6">
      <c r="B415" t="s">
        <v>256</v>
      </c>
      <c r="C415" t="s">
        <v>3308</v>
      </c>
      <c r="D415" t="s">
        <v>3726</v>
      </c>
      <c r="E415" t="s">
        <v>4119</v>
      </c>
      <c r="F415" t="s">
        <v>4119</v>
      </c>
    </row>
    <row r="416" spans="2:6">
      <c r="B416" t="s">
        <v>403</v>
      </c>
      <c r="C416" t="s">
        <v>2978</v>
      </c>
      <c r="D416" t="s">
        <v>3417</v>
      </c>
      <c r="E416" t="s">
        <v>1374</v>
      </c>
      <c r="F416" t="s">
        <v>1374</v>
      </c>
    </row>
    <row r="417" spans="2:6">
      <c r="B417" t="s">
        <v>152</v>
      </c>
      <c r="C417" t="s">
        <v>3181</v>
      </c>
      <c r="D417" t="s">
        <v>3594</v>
      </c>
      <c r="E417" t="s">
        <v>3992</v>
      </c>
      <c r="F417" t="s">
        <v>4368</v>
      </c>
    </row>
    <row r="418" spans="2:6">
      <c r="B418" t="s">
        <v>280</v>
      </c>
      <c r="C418" t="s">
        <v>859</v>
      </c>
      <c r="D418" t="s">
        <v>3027</v>
      </c>
      <c r="E418" t="s">
        <v>3019</v>
      </c>
      <c r="F418" t="s">
        <v>3450</v>
      </c>
    </row>
    <row r="419" spans="2:6">
      <c r="B419" t="s">
        <v>348</v>
      </c>
      <c r="C419" t="s">
        <v>1046</v>
      </c>
      <c r="D419" t="s">
        <v>3641</v>
      </c>
      <c r="E419" t="s">
        <v>4038</v>
      </c>
      <c r="F419" t="s">
        <v>4410</v>
      </c>
    </row>
    <row r="420" spans="2:6">
      <c r="B420" t="s">
        <v>435</v>
      </c>
      <c r="C420" t="s">
        <v>3064</v>
      </c>
      <c r="D420" t="s">
        <v>3487</v>
      </c>
      <c r="E420" t="s">
        <v>3891</v>
      </c>
      <c r="F420" t="s">
        <v>4272</v>
      </c>
    </row>
    <row r="421" spans="2:6">
      <c r="B421" t="s">
        <v>97</v>
      </c>
      <c r="C421" t="s">
        <v>2884</v>
      </c>
      <c r="D421" t="s">
        <v>3337</v>
      </c>
      <c r="E421" t="s">
        <v>3755</v>
      </c>
      <c r="F421" t="s">
        <v>4146</v>
      </c>
    </row>
    <row r="422" spans="2:6">
      <c r="B422" t="s">
        <v>108</v>
      </c>
      <c r="C422" t="s">
        <v>3299</v>
      </c>
      <c r="D422" t="s">
        <v>3717</v>
      </c>
      <c r="E422" t="s">
        <v>4110</v>
      </c>
      <c r="F422" t="s">
        <v>4478</v>
      </c>
    </row>
    <row r="423" spans="2:6">
      <c r="B423" t="s">
        <v>224</v>
      </c>
      <c r="C423" t="s">
        <v>2939</v>
      </c>
      <c r="D423" t="s">
        <v>3388</v>
      </c>
      <c r="E423" t="s">
        <v>3806</v>
      </c>
      <c r="F423" t="s">
        <v>3386</v>
      </c>
    </row>
    <row r="424" spans="2:6">
      <c r="B424" t="s">
        <v>126</v>
      </c>
      <c r="C424" t="s">
        <v>3269</v>
      </c>
      <c r="D424" t="s">
        <v>3687</v>
      </c>
      <c r="E424" t="s">
        <v>4080</v>
      </c>
      <c r="F424" t="s">
        <v>4448</v>
      </c>
    </row>
    <row r="425" spans="2:6">
      <c r="B425" t="s">
        <v>93</v>
      </c>
      <c r="C425" t="s">
        <v>3200</v>
      </c>
      <c r="D425" t="s">
        <v>3612</v>
      </c>
      <c r="E425" t="s">
        <v>4010</v>
      </c>
      <c r="F425" t="s">
        <v>3181</v>
      </c>
    </row>
    <row r="426" spans="2:6">
      <c r="B426" t="s">
        <v>128</v>
      </c>
      <c r="C426" t="s">
        <v>3046</v>
      </c>
      <c r="D426" t="s">
        <v>1908</v>
      </c>
      <c r="E426" t="s">
        <v>3019</v>
      </c>
      <c r="F426" t="s">
        <v>856</v>
      </c>
    </row>
    <row r="427" spans="2:6">
      <c r="B427" t="s">
        <v>99</v>
      </c>
      <c r="C427" t="s">
        <v>2908</v>
      </c>
      <c r="D427" t="s">
        <v>3361</v>
      </c>
      <c r="E427" t="s">
        <v>3780</v>
      </c>
      <c r="F427" t="s">
        <v>4168</v>
      </c>
    </row>
    <row r="428" spans="2:6">
      <c r="B428" t="s">
        <v>180</v>
      </c>
      <c r="C428" t="s">
        <v>3059</v>
      </c>
      <c r="D428" t="s">
        <v>3482</v>
      </c>
      <c r="E428" t="s">
        <v>3888</v>
      </c>
      <c r="F428" t="s">
        <v>4270</v>
      </c>
    </row>
    <row r="429" spans="2:6">
      <c r="B429" t="s">
        <v>445</v>
      </c>
      <c r="C429" t="s">
        <v>1417</v>
      </c>
      <c r="D429" t="s">
        <v>3477</v>
      </c>
      <c r="E429" t="s">
        <v>3477</v>
      </c>
      <c r="F429" t="s">
        <v>2837</v>
      </c>
    </row>
    <row r="430" spans="2:6">
      <c r="B430" t="s">
        <v>125</v>
      </c>
      <c r="C430" t="s">
        <v>3056</v>
      </c>
      <c r="D430" t="s">
        <v>1441</v>
      </c>
      <c r="E430" t="s">
        <v>1435</v>
      </c>
      <c r="F430" t="s">
        <v>2837</v>
      </c>
    </row>
    <row r="431" spans="2:6">
      <c r="B431" t="s">
        <v>171</v>
      </c>
      <c r="C431" t="s">
        <v>2894</v>
      </c>
      <c r="D431" t="s">
        <v>3346</v>
      </c>
      <c r="E431" t="s">
        <v>3765</v>
      </c>
      <c r="F431" t="s">
        <v>4155</v>
      </c>
    </row>
    <row r="432" spans="2:6">
      <c r="B432" t="s">
        <v>174</v>
      </c>
      <c r="C432" t="s">
        <v>3117</v>
      </c>
      <c r="D432" t="s">
        <v>3534</v>
      </c>
      <c r="E432" t="s">
        <v>3933</v>
      </c>
      <c r="F432" t="s">
        <v>868</v>
      </c>
    </row>
    <row r="433" spans="2:6">
      <c r="B433" t="s">
        <v>350</v>
      </c>
      <c r="C433" t="s">
        <v>871</v>
      </c>
      <c r="D433" t="s">
        <v>3045</v>
      </c>
      <c r="E433" t="s">
        <v>3032</v>
      </c>
      <c r="F433" t="s">
        <v>1442</v>
      </c>
    </row>
    <row r="434" spans="2:6">
      <c r="B434" t="s">
        <v>72</v>
      </c>
      <c r="C434" t="s">
        <v>3315</v>
      </c>
      <c r="D434" t="s">
        <v>3733</v>
      </c>
      <c r="E434" t="s">
        <v>4126</v>
      </c>
      <c r="F434" t="s">
        <v>4492</v>
      </c>
    </row>
    <row r="435" spans="2:6">
      <c r="B435" t="s">
        <v>366</v>
      </c>
      <c r="C435" t="s">
        <v>3218</v>
      </c>
      <c r="D435" t="s">
        <v>3631</v>
      </c>
      <c r="E435" t="s">
        <v>4028</v>
      </c>
      <c r="F435" t="s">
        <v>4401</v>
      </c>
    </row>
    <row r="436" spans="2:6">
      <c r="B436" t="s">
        <v>375</v>
      </c>
      <c r="C436" t="s">
        <v>3206</v>
      </c>
      <c r="D436" t="s">
        <v>3618</v>
      </c>
      <c r="E436" t="s">
        <v>4015</v>
      </c>
      <c r="F436" t="s">
        <v>4389</v>
      </c>
    </row>
    <row r="437" spans="2:6">
      <c r="B437" t="s">
        <v>385</v>
      </c>
      <c r="C437" t="s">
        <v>3055</v>
      </c>
      <c r="D437" t="s">
        <v>3479</v>
      </c>
      <c r="E437" t="s">
        <v>1907</v>
      </c>
      <c r="F437" t="s">
        <v>1402</v>
      </c>
    </row>
    <row r="438" spans="2:6">
      <c r="B438" t="s">
        <v>28</v>
      </c>
      <c r="C438" t="s">
        <v>2951</v>
      </c>
      <c r="D438" t="s">
        <v>3399</v>
      </c>
      <c r="E438" t="s">
        <v>3815</v>
      </c>
      <c r="F438" t="s">
        <v>4205</v>
      </c>
    </row>
    <row r="439" spans="2:6">
      <c r="B439" t="s">
        <v>446</v>
      </c>
      <c r="C439" t="s">
        <v>3144</v>
      </c>
      <c r="D439" t="s">
        <v>3561</v>
      </c>
      <c r="E439" t="s">
        <v>3959</v>
      </c>
      <c r="F439" t="s">
        <v>4337</v>
      </c>
    </row>
    <row r="440" spans="2:6">
      <c r="B440" t="s">
        <v>228</v>
      </c>
      <c r="C440" t="s">
        <v>3026</v>
      </c>
      <c r="D440" t="s">
        <v>858</v>
      </c>
      <c r="E440" t="s">
        <v>3012</v>
      </c>
      <c r="F440" t="s">
        <v>4255</v>
      </c>
    </row>
    <row r="441" spans="2:6">
      <c r="B441" t="s">
        <v>312</v>
      </c>
      <c r="C441" t="s">
        <v>3057</v>
      </c>
      <c r="D441" t="s">
        <v>3039</v>
      </c>
      <c r="E441" t="s">
        <v>1381</v>
      </c>
      <c r="F441" t="s">
        <v>1899</v>
      </c>
    </row>
    <row r="442" spans="2:6">
      <c r="B442" t="s">
        <v>416</v>
      </c>
      <c r="C442" t="s">
        <v>3100</v>
      </c>
      <c r="D442" t="s">
        <v>3517</v>
      </c>
      <c r="E442" t="s">
        <v>3918</v>
      </c>
      <c r="F442" t="s">
        <v>4298</v>
      </c>
    </row>
    <row r="443" spans="2:6">
      <c r="B443" t="s">
        <v>139</v>
      </c>
      <c r="C443" t="s">
        <v>855</v>
      </c>
      <c r="D443" t="s">
        <v>2412</v>
      </c>
      <c r="E443" t="s">
        <v>3450</v>
      </c>
      <c r="F443" t="s">
        <v>4255</v>
      </c>
    </row>
    <row r="444" spans="2:6">
      <c r="B444" t="s">
        <v>55</v>
      </c>
      <c r="C444" t="s">
        <v>2982</v>
      </c>
      <c r="D444" t="s">
        <v>2973</v>
      </c>
      <c r="E444" t="s">
        <v>3836</v>
      </c>
      <c r="F444" t="s">
        <v>4227</v>
      </c>
    </row>
    <row r="445" spans="2:6">
      <c r="B445" t="s">
        <v>69</v>
      </c>
      <c r="C445" t="s">
        <v>2881</v>
      </c>
      <c r="D445" t="s">
        <v>3334</v>
      </c>
      <c r="E445" t="s">
        <v>3752</v>
      </c>
      <c r="F445" t="s">
        <v>4143</v>
      </c>
    </row>
    <row r="446" spans="2:6">
      <c r="B446" t="s">
        <v>337</v>
      </c>
      <c r="C446" t="s">
        <v>3203</v>
      </c>
      <c r="D446" t="s">
        <v>3615</v>
      </c>
      <c r="E446" t="s">
        <v>4012</v>
      </c>
      <c r="F446" t="s">
        <v>4386</v>
      </c>
    </row>
    <row r="447" spans="2:6">
      <c r="B447" t="s">
        <v>11</v>
      </c>
      <c r="C447" t="s">
        <v>2929</v>
      </c>
      <c r="D447" t="s">
        <v>3379</v>
      </c>
      <c r="E447" t="s">
        <v>2912</v>
      </c>
      <c r="F447" t="s">
        <v>4188</v>
      </c>
    </row>
    <row r="448" spans="2:6">
      <c r="B448" t="s">
        <v>263</v>
      </c>
      <c r="C448" t="s">
        <v>3069</v>
      </c>
      <c r="D448" t="s">
        <v>3492</v>
      </c>
      <c r="E448" t="s">
        <v>3896</v>
      </c>
      <c r="F448" t="s">
        <v>4276</v>
      </c>
    </row>
    <row r="449" spans="2:6">
      <c r="B449" t="s">
        <v>373</v>
      </c>
      <c r="C449" t="s">
        <v>3184</v>
      </c>
      <c r="D449" t="s">
        <v>3597</v>
      </c>
      <c r="E449" t="s">
        <v>3995</v>
      </c>
      <c r="F449" t="s">
        <v>4371</v>
      </c>
    </row>
    <row r="450" spans="2:6">
      <c r="B450" t="s">
        <v>425</v>
      </c>
      <c r="C450" t="s">
        <v>3025</v>
      </c>
      <c r="D450" t="s">
        <v>3025</v>
      </c>
      <c r="E450" t="s">
        <v>3015</v>
      </c>
      <c r="F450" t="s">
        <v>2383</v>
      </c>
    </row>
    <row r="451" spans="2:6">
      <c r="B451" t="s">
        <v>92</v>
      </c>
      <c r="C451" t="s">
        <v>3122</v>
      </c>
      <c r="D451" t="s">
        <v>3539</v>
      </c>
      <c r="E451" t="s">
        <v>3937</v>
      </c>
      <c r="F451" t="s">
        <v>4316</v>
      </c>
    </row>
    <row r="452" spans="2:6">
      <c r="B452" t="s">
        <v>150</v>
      </c>
      <c r="C452" t="s">
        <v>2985</v>
      </c>
      <c r="D452" t="s">
        <v>3425</v>
      </c>
      <c r="E452" t="s">
        <v>3842</v>
      </c>
      <c r="F452" t="s">
        <v>4231</v>
      </c>
    </row>
    <row r="453" spans="2:6">
      <c r="B453" t="s">
        <v>306</v>
      </c>
      <c r="C453" t="s">
        <v>2891</v>
      </c>
      <c r="D453" t="s">
        <v>3343</v>
      </c>
      <c r="E453" t="s">
        <v>3762</v>
      </c>
      <c r="F453" t="s">
        <v>3758</v>
      </c>
    </row>
    <row r="454" spans="2:6">
      <c r="B454" t="s">
        <v>470</v>
      </c>
      <c r="C454" t="s">
        <v>3232</v>
      </c>
      <c r="D454" t="s">
        <v>3646</v>
      </c>
      <c r="E454" t="s">
        <v>4043</v>
      </c>
      <c r="F454" t="s">
        <v>4414</v>
      </c>
    </row>
    <row r="455" spans="2:6">
      <c r="B455" t="s">
        <v>333</v>
      </c>
      <c r="C455" t="s">
        <v>3225</v>
      </c>
      <c r="D455" t="s">
        <v>3638</v>
      </c>
      <c r="E455" t="s">
        <v>4035</v>
      </c>
      <c r="F455" t="s">
        <v>4035</v>
      </c>
    </row>
    <row r="456" spans="2:6">
      <c r="B456" t="s">
        <v>837</v>
      </c>
      <c r="C456" t="s">
        <v>2900</v>
      </c>
      <c r="D456" t="s">
        <v>3352</v>
      </c>
      <c r="E456" t="s">
        <v>3771</v>
      </c>
      <c r="F456" t="s">
        <v>3768</v>
      </c>
    </row>
    <row r="457" spans="2:6">
      <c r="B457" t="s">
        <v>21</v>
      </c>
      <c r="C457" t="s">
        <v>2412</v>
      </c>
      <c r="D457" t="s">
        <v>1904</v>
      </c>
      <c r="E457" t="s">
        <v>2399</v>
      </c>
      <c r="F457" t="s">
        <v>2404</v>
      </c>
    </row>
    <row r="458" spans="2:6">
      <c r="B458" t="s">
        <v>54</v>
      </c>
      <c r="C458" t="s">
        <v>3270</v>
      </c>
      <c r="D458" t="s">
        <v>3688</v>
      </c>
      <c r="E458" t="s">
        <v>4081</v>
      </c>
      <c r="F458" t="s">
        <v>4449</v>
      </c>
    </row>
    <row r="459" spans="2:6">
      <c r="B459" t="s">
        <v>186</v>
      </c>
      <c r="C459" t="s">
        <v>2905</v>
      </c>
      <c r="D459" t="s">
        <v>3358</v>
      </c>
      <c r="E459" t="s">
        <v>3777</v>
      </c>
      <c r="F459" t="s">
        <v>4165</v>
      </c>
    </row>
    <row r="460" spans="2:6">
      <c r="B460" t="s">
        <v>390</v>
      </c>
      <c r="C460" t="s">
        <v>2922</v>
      </c>
      <c r="D460" t="s">
        <v>3374</v>
      </c>
      <c r="E460" t="s">
        <v>3793</v>
      </c>
      <c r="F460" t="s">
        <v>4181</v>
      </c>
    </row>
    <row r="461" spans="2:6">
      <c r="B461" t="s">
        <v>330</v>
      </c>
      <c r="C461" t="s">
        <v>874</v>
      </c>
      <c r="D461" t="s">
        <v>3055</v>
      </c>
      <c r="E461" t="s">
        <v>868</v>
      </c>
      <c r="F461" t="s">
        <v>1389</v>
      </c>
    </row>
    <row r="462" spans="2:6">
      <c r="B462" t="s">
        <v>246</v>
      </c>
      <c r="C462" t="s">
        <v>2402</v>
      </c>
      <c r="D462" t="s">
        <v>3452</v>
      </c>
      <c r="E462" t="s">
        <v>3028</v>
      </c>
      <c r="F462" t="s">
        <v>3457</v>
      </c>
    </row>
    <row r="463" spans="2:6">
      <c r="B463" t="s">
        <v>0</v>
      </c>
      <c r="C463" t="s">
        <v>3261</v>
      </c>
      <c r="D463" t="s">
        <v>2672</v>
      </c>
      <c r="E463" t="s">
        <v>3676</v>
      </c>
      <c r="F463" t="s">
        <v>4443</v>
      </c>
    </row>
    <row r="464" spans="2:6">
      <c r="B464" t="s">
        <v>354</v>
      </c>
      <c r="C464" t="s">
        <v>3173</v>
      </c>
      <c r="D464" t="s">
        <v>3588</v>
      </c>
      <c r="E464" t="s">
        <v>3986</v>
      </c>
      <c r="F464" t="s">
        <v>4361</v>
      </c>
    </row>
    <row r="465" spans="2:6">
      <c r="B465" t="s">
        <v>834</v>
      </c>
      <c r="C465" t="s">
        <v>1442</v>
      </c>
      <c r="D465" t="s">
        <v>3038</v>
      </c>
      <c r="E465" t="s">
        <v>1417</v>
      </c>
      <c r="F465" t="s">
        <v>3057</v>
      </c>
    </row>
    <row r="466" spans="2:6">
      <c r="B466" t="s">
        <v>503</v>
      </c>
      <c r="C466" t="s">
        <v>3095</v>
      </c>
      <c r="D466" t="s">
        <v>3515</v>
      </c>
      <c r="E466" t="s">
        <v>3915</v>
      </c>
      <c r="F466" t="s">
        <v>4296</v>
      </c>
    </row>
    <row r="467" spans="2:6">
      <c r="B467" t="s">
        <v>243</v>
      </c>
      <c r="C467" t="s">
        <v>3247</v>
      </c>
      <c r="D467" t="s">
        <v>3662</v>
      </c>
      <c r="E467" t="s">
        <v>4058</v>
      </c>
      <c r="F467" t="s">
        <v>4427</v>
      </c>
    </row>
    <row r="468" spans="2:6">
      <c r="B468" t="s">
        <v>146</v>
      </c>
      <c r="C468" t="s">
        <v>3312</v>
      </c>
      <c r="D468" t="s">
        <v>3730</v>
      </c>
      <c r="E468" t="s">
        <v>4123</v>
      </c>
      <c r="F468" t="s">
        <v>4490</v>
      </c>
    </row>
    <row r="469" spans="2:6">
      <c r="B469" t="s">
        <v>168</v>
      </c>
      <c r="C469" t="s">
        <v>2906</v>
      </c>
      <c r="D469" t="s">
        <v>3359</v>
      </c>
      <c r="E469" t="s">
        <v>3778</v>
      </c>
      <c r="F469" t="s">
        <v>4166</v>
      </c>
    </row>
    <row r="470" spans="2:6">
      <c r="B470" t="s">
        <v>257</v>
      </c>
      <c r="C470" t="s">
        <v>3301</v>
      </c>
      <c r="D470" t="s">
        <v>3719</v>
      </c>
      <c r="E470" t="s">
        <v>4112</v>
      </c>
      <c r="F470" t="s">
        <v>4480</v>
      </c>
    </row>
    <row r="471" spans="2:6">
      <c r="B471" t="s">
        <v>405</v>
      </c>
      <c r="C471" t="s">
        <v>3314</v>
      </c>
      <c r="D471" t="s">
        <v>3732</v>
      </c>
      <c r="E471" t="s">
        <v>4125</v>
      </c>
      <c r="F471" t="s">
        <v>4125</v>
      </c>
    </row>
    <row r="472" spans="2:6">
      <c r="B472" t="s">
        <v>101</v>
      </c>
      <c r="C472" t="s">
        <v>2901</v>
      </c>
      <c r="D472" t="s">
        <v>3353</v>
      </c>
      <c r="E472" t="s">
        <v>3772</v>
      </c>
      <c r="F472" t="s">
        <v>4160</v>
      </c>
    </row>
    <row r="473" spans="2:6">
      <c r="B473" t="s">
        <v>258</v>
      </c>
      <c r="C473" t="s">
        <v>3089</v>
      </c>
      <c r="D473" t="s">
        <v>3510</v>
      </c>
      <c r="E473" t="s">
        <v>3911</v>
      </c>
      <c r="F473" t="s">
        <v>4293</v>
      </c>
    </row>
    <row r="474" spans="2:6">
      <c r="B474" t="s">
        <v>199</v>
      </c>
      <c r="C474" t="s">
        <v>858</v>
      </c>
      <c r="D474" t="s">
        <v>3461</v>
      </c>
      <c r="E474" t="s">
        <v>3027</v>
      </c>
      <c r="F474" t="s">
        <v>3455</v>
      </c>
    </row>
    <row r="475" spans="2:6">
      <c r="B475" t="s">
        <v>361</v>
      </c>
      <c r="C475" t="s">
        <v>3055</v>
      </c>
      <c r="D475" t="s">
        <v>3053</v>
      </c>
      <c r="E475" t="s">
        <v>862</v>
      </c>
      <c r="F475" t="s">
        <v>2850</v>
      </c>
    </row>
    <row r="476" spans="2:6">
      <c r="B476" t="s">
        <v>133</v>
      </c>
      <c r="C476" t="s">
        <v>3079</v>
      </c>
      <c r="D476" t="s">
        <v>3500</v>
      </c>
      <c r="E476" t="s">
        <v>3902</v>
      </c>
      <c r="F476" t="s">
        <v>4283</v>
      </c>
    </row>
    <row r="477" spans="2:6">
      <c r="B477" t="s">
        <v>250</v>
      </c>
      <c r="C477" t="s">
        <v>2409</v>
      </c>
      <c r="D477" t="s">
        <v>2987</v>
      </c>
      <c r="E477" t="s">
        <v>3868</v>
      </c>
      <c r="F477" t="s">
        <v>4253</v>
      </c>
    </row>
    <row r="478" spans="2:6">
      <c r="B478" t="s">
        <v>806</v>
      </c>
      <c r="C478" t="s">
        <v>2977</v>
      </c>
      <c r="D478" t="s">
        <v>3416</v>
      </c>
      <c r="E478" t="s">
        <v>2958</v>
      </c>
      <c r="F478" t="s">
        <v>4222</v>
      </c>
    </row>
    <row r="479" spans="2:6">
      <c r="B479" t="s">
        <v>369</v>
      </c>
      <c r="C479" t="s">
        <v>3295</v>
      </c>
      <c r="D479" t="s">
        <v>3713</v>
      </c>
      <c r="E479" t="s">
        <v>4106</v>
      </c>
      <c r="F479" t="s">
        <v>4474</v>
      </c>
    </row>
    <row r="480" spans="2:6">
      <c r="B480" t="s">
        <v>498</v>
      </c>
      <c r="C480" t="s">
        <v>3050</v>
      </c>
      <c r="D480" t="s">
        <v>860</v>
      </c>
      <c r="E480" t="s">
        <v>3021</v>
      </c>
      <c r="F480" t="s">
        <v>3443</v>
      </c>
    </row>
    <row r="481" spans="2:6">
      <c r="B481" t="s">
        <v>40</v>
      </c>
      <c r="C481" t="s">
        <v>2950</v>
      </c>
      <c r="D481" t="s">
        <v>2935</v>
      </c>
      <c r="E481" t="s">
        <v>2394</v>
      </c>
      <c r="F481" t="s">
        <v>4204</v>
      </c>
    </row>
    <row r="482" spans="2:6">
      <c r="B482" t="s">
        <v>226</v>
      </c>
      <c r="C482" t="s">
        <v>3018</v>
      </c>
      <c r="D482" t="s">
        <v>3451</v>
      </c>
      <c r="E482" t="s">
        <v>3866</v>
      </c>
      <c r="F482" t="s">
        <v>3011</v>
      </c>
    </row>
    <row r="483" spans="2:6">
      <c r="B483" t="s">
        <v>172</v>
      </c>
      <c r="C483" t="s">
        <v>3004</v>
      </c>
      <c r="D483" t="s">
        <v>3438</v>
      </c>
      <c r="E483" t="s">
        <v>3441</v>
      </c>
      <c r="F483" t="s">
        <v>4243</v>
      </c>
    </row>
    <row r="484" spans="2:6">
      <c r="B484" t="s">
        <v>833</v>
      </c>
      <c r="C484" t="s">
        <v>3187</v>
      </c>
      <c r="D484" t="s">
        <v>3599</v>
      </c>
      <c r="E484" t="s">
        <v>3997</v>
      </c>
      <c r="F484" t="s">
        <v>1580</v>
      </c>
    </row>
    <row r="485" spans="2:6">
      <c r="B485" t="s">
        <v>294</v>
      </c>
      <c r="C485" t="s">
        <v>3285</v>
      </c>
      <c r="D485" t="s">
        <v>3703</v>
      </c>
      <c r="E485" t="s">
        <v>4096</v>
      </c>
      <c r="F485" t="s">
        <v>4464</v>
      </c>
    </row>
    <row r="486" spans="2:6">
      <c r="B486" t="s">
        <v>462</v>
      </c>
      <c r="C486" t="s">
        <v>3241</v>
      </c>
      <c r="D486" t="s">
        <v>3656</v>
      </c>
      <c r="E486" t="s">
        <v>4052</v>
      </c>
      <c r="F486" t="s">
        <v>4421</v>
      </c>
    </row>
    <row r="487" spans="2:6">
      <c r="B487" t="s">
        <v>807</v>
      </c>
      <c r="C487" t="s">
        <v>2871</v>
      </c>
      <c r="D487" t="s">
        <v>3324</v>
      </c>
      <c r="E487" t="s">
        <v>3742</v>
      </c>
      <c r="F487" t="s">
        <v>4134</v>
      </c>
    </row>
    <row r="488" spans="2:6">
      <c r="B488" t="s">
        <v>60</v>
      </c>
      <c r="C488" t="s">
        <v>3019</v>
      </c>
      <c r="D488" t="s">
        <v>3011</v>
      </c>
      <c r="E488" t="s">
        <v>1901</v>
      </c>
      <c r="F488" t="s">
        <v>3862</v>
      </c>
    </row>
    <row r="489" spans="2:6">
      <c r="B489" t="s">
        <v>253</v>
      </c>
      <c r="C489" t="s">
        <v>3302</v>
      </c>
      <c r="D489" t="s">
        <v>3720</v>
      </c>
      <c r="E489" t="s">
        <v>4113</v>
      </c>
      <c r="F489" t="s">
        <v>4481</v>
      </c>
    </row>
    <row r="490" spans="2:6">
      <c r="B490" t="s">
        <v>830</v>
      </c>
      <c r="C490" t="s">
        <v>3139</v>
      </c>
      <c r="D490" t="s">
        <v>3556</v>
      </c>
      <c r="E490" t="s">
        <v>3954</v>
      </c>
      <c r="F490" t="s">
        <v>4332</v>
      </c>
    </row>
    <row r="491" spans="2:6">
      <c r="B491" t="s">
        <v>189</v>
      </c>
      <c r="C491" t="s">
        <v>2958</v>
      </c>
      <c r="D491" t="s">
        <v>3400</v>
      </c>
      <c r="E491" t="s">
        <v>1905</v>
      </c>
      <c r="F491" t="s">
        <v>4210</v>
      </c>
    </row>
    <row r="492" spans="2:6">
      <c r="B492" t="s">
        <v>326</v>
      </c>
      <c r="C492" t="s">
        <v>3281</v>
      </c>
      <c r="D492" t="s">
        <v>3699</v>
      </c>
      <c r="E492" t="s">
        <v>4092</v>
      </c>
      <c r="F492" t="s">
        <v>4460</v>
      </c>
    </row>
    <row r="493" spans="2:6">
      <c r="B493" t="s">
        <v>287</v>
      </c>
      <c r="C493" t="s">
        <v>3014</v>
      </c>
      <c r="D493" t="s">
        <v>3011</v>
      </c>
      <c r="E493" t="s">
        <v>2999</v>
      </c>
      <c r="F493" t="s">
        <v>4247</v>
      </c>
    </row>
    <row r="494" spans="2:6">
      <c r="B494" t="s">
        <v>51</v>
      </c>
      <c r="C494" t="s">
        <v>2932</v>
      </c>
      <c r="D494" t="s">
        <v>3382</v>
      </c>
      <c r="E494" t="s">
        <v>3794</v>
      </c>
      <c r="F494" t="s">
        <v>4191</v>
      </c>
    </row>
    <row r="495" spans="2:6">
      <c r="B495" t="s">
        <v>836</v>
      </c>
      <c r="C495" t="s">
        <v>2940</v>
      </c>
      <c r="D495" t="s">
        <v>3389</v>
      </c>
      <c r="E495" t="s">
        <v>3807</v>
      </c>
      <c r="F495" t="s">
        <v>4195</v>
      </c>
    </row>
    <row r="496" spans="2:6">
      <c r="B496" t="s">
        <v>327</v>
      </c>
      <c r="C496" t="s">
        <v>3142</v>
      </c>
      <c r="D496" t="s">
        <v>3559</v>
      </c>
      <c r="E496" t="s">
        <v>3957</v>
      </c>
      <c r="F496" t="s">
        <v>4335</v>
      </c>
    </row>
    <row r="497" spans="2:6">
      <c r="B497" t="s">
        <v>141</v>
      </c>
      <c r="C497" t="s">
        <v>3066</v>
      </c>
      <c r="D497" t="s">
        <v>3489</v>
      </c>
      <c r="E497" t="s">
        <v>3893</v>
      </c>
      <c r="F497" t="s">
        <v>4273</v>
      </c>
    </row>
    <row r="498" spans="2:6">
      <c r="B498" t="s">
        <v>249</v>
      </c>
      <c r="C498" t="s">
        <v>3279</v>
      </c>
      <c r="D498" t="s">
        <v>3697</v>
      </c>
      <c r="E498" t="s">
        <v>4090</v>
      </c>
      <c r="F498" t="s">
        <v>4458</v>
      </c>
    </row>
    <row r="499" spans="2:6">
      <c r="B499" t="s">
        <v>147</v>
      </c>
      <c r="C499" t="s">
        <v>3009</v>
      </c>
      <c r="D499" t="s">
        <v>3437</v>
      </c>
      <c r="E499" t="s">
        <v>2398</v>
      </c>
      <c r="F499" t="s">
        <v>4195</v>
      </c>
    </row>
    <row r="500" spans="2:6">
      <c r="B500" t="s">
        <v>472</v>
      </c>
      <c r="C500" t="s">
        <v>852</v>
      </c>
      <c r="D500" t="s">
        <v>3445</v>
      </c>
      <c r="E500" t="s">
        <v>3860</v>
      </c>
      <c r="F500" t="s">
        <v>1378</v>
      </c>
    </row>
    <row r="501" spans="2:6">
      <c r="B501" t="s">
        <v>53</v>
      </c>
      <c r="C501" t="s">
        <v>2899</v>
      </c>
      <c r="D501" t="s">
        <v>3351</v>
      </c>
      <c r="E501" t="s">
        <v>3770</v>
      </c>
      <c r="F501" t="s">
        <v>4159</v>
      </c>
    </row>
    <row r="502" spans="2:6">
      <c r="B502" t="s">
        <v>318</v>
      </c>
      <c r="C502" t="s">
        <v>2983</v>
      </c>
      <c r="D502" t="s">
        <v>3423</v>
      </c>
      <c r="E502" t="s">
        <v>3839</v>
      </c>
      <c r="F502" t="s">
        <v>3839</v>
      </c>
    </row>
    <row r="503" spans="2:6">
      <c r="B503" t="s">
        <v>296</v>
      </c>
      <c r="C503" t="s">
        <v>3303</v>
      </c>
      <c r="D503" t="s">
        <v>3721</v>
      </c>
      <c r="E503" t="s">
        <v>4114</v>
      </c>
      <c r="F503" t="s">
        <v>4482</v>
      </c>
    </row>
    <row r="504" spans="2:6">
      <c r="B504" t="s">
        <v>349</v>
      </c>
      <c r="C504" t="s">
        <v>3078</v>
      </c>
      <c r="D504" t="s">
        <v>3030</v>
      </c>
      <c r="E504" t="s">
        <v>1386</v>
      </c>
      <c r="F504" t="s">
        <v>3005</v>
      </c>
    </row>
    <row r="505" spans="2:6">
      <c r="B505" t="s">
        <v>300</v>
      </c>
      <c r="C505" t="s">
        <v>3054</v>
      </c>
      <c r="D505" t="s">
        <v>1389</v>
      </c>
      <c r="E505" t="s">
        <v>1389</v>
      </c>
      <c r="F505" t="s">
        <v>872</v>
      </c>
    </row>
    <row r="506" spans="2:6">
      <c r="B506" t="s">
        <v>316</v>
      </c>
      <c r="C506" t="s">
        <v>3001</v>
      </c>
      <c r="D506" t="s">
        <v>3436</v>
      </c>
      <c r="E506" t="s">
        <v>3853</v>
      </c>
      <c r="F506" t="s">
        <v>4241</v>
      </c>
    </row>
    <row r="507" spans="2:6">
      <c r="B507" t="s">
        <v>502</v>
      </c>
      <c r="C507" t="s">
        <v>3012</v>
      </c>
      <c r="D507" t="s">
        <v>3447</v>
      </c>
      <c r="E507" t="s">
        <v>3859</v>
      </c>
      <c r="F507" t="s">
        <v>4233</v>
      </c>
    </row>
    <row r="508" spans="2:6">
      <c r="B508" t="s">
        <v>397</v>
      </c>
      <c r="C508" t="s">
        <v>3124</v>
      </c>
      <c r="D508" t="s">
        <v>3541</v>
      </c>
      <c r="E508" t="s">
        <v>3939</v>
      </c>
      <c r="F508" t="s">
        <v>4318</v>
      </c>
    </row>
    <row r="509" spans="2:6">
      <c r="B509" t="s">
        <v>359</v>
      </c>
      <c r="C509" t="s">
        <v>3175</v>
      </c>
      <c r="D509" t="s">
        <v>3590</v>
      </c>
      <c r="E509" t="s">
        <v>3988</v>
      </c>
      <c r="F509" t="s">
        <v>4363</v>
      </c>
    </row>
    <row r="510" spans="2:6">
      <c r="B510" t="s">
        <v>355</v>
      </c>
      <c r="C510" t="s">
        <v>3242</v>
      </c>
      <c r="D510" t="s">
        <v>3657</v>
      </c>
      <c r="E510" t="s">
        <v>4053</v>
      </c>
      <c r="F510" t="s">
        <v>4422</v>
      </c>
    </row>
    <row r="511" spans="2:6">
      <c r="B511" t="s">
        <v>464</v>
      </c>
      <c r="C511" t="s">
        <v>3152</v>
      </c>
      <c r="D511" t="s">
        <v>3569</v>
      </c>
      <c r="E511" t="s">
        <v>3967</v>
      </c>
      <c r="F511" t="s">
        <v>4345</v>
      </c>
    </row>
    <row r="512" spans="2:6">
      <c r="B512" t="s">
        <v>107</v>
      </c>
      <c r="C512" t="s">
        <v>3090</v>
      </c>
      <c r="D512" t="s">
        <v>3511</v>
      </c>
      <c r="E512" t="s">
        <v>1903</v>
      </c>
      <c r="F512" t="s">
        <v>871</v>
      </c>
    </row>
    <row r="513" spans="2:6">
      <c r="B513" t="s">
        <v>486</v>
      </c>
      <c r="C513" t="s">
        <v>3131</v>
      </c>
      <c r="D513" t="s">
        <v>3548</v>
      </c>
      <c r="E513" t="s">
        <v>3946</v>
      </c>
      <c r="F513" t="s">
        <v>4325</v>
      </c>
    </row>
    <row r="514" spans="2:6">
      <c r="B514" t="s">
        <v>395</v>
      </c>
      <c r="C514" t="s">
        <v>3194</v>
      </c>
      <c r="D514" t="s">
        <v>3606</v>
      </c>
      <c r="E514" t="s">
        <v>4004</v>
      </c>
      <c r="F514" t="s">
        <v>4379</v>
      </c>
    </row>
    <row r="515" spans="2:6">
      <c r="B515" t="s">
        <v>315</v>
      </c>
      <c r="C515" t="s">
        <v>3061</v>
      </c>
      <c r="D515" t="s">
        <v>3484</v>
      </c>
      <c r="E515" t="s">
        <v>872</v>
      </c>
      <c r="F515" t="s">
        <v>1398</v>
      </c>
    </row>
    <row r="516" spans="2:6">
      <c r="B516" t="s">
        <v>57</v>
      </c>
      <c r="C516" t="s">
        <v>2927</v>
      </c>
      <c r="D516" t="s">
        <v>3377</v>
      </c>
      <c r="E516" t="s">
        <v>3790</v>
      </c>
      <c r="F516" t="s">
        <v>4186</v>
      </c>
    </row>
    <row r="517" spans="2:6">
      <c r="B517" t="s">
        <v>183</v>
      </c>
      <c r="C517" t="s">
        <v>2974</v>
      </c>
      <c r="D517" t="s">
        <v>2968</v>
      </c>
      <c r="E517" t="s">
        <v>2962</v>
      </c>
      <c r="F517" t="s">
        <v>3828</v>
      </c>
    </row>
    <row r="518" spans="2:6">
      <c r="B518" t="s">
        <v>175</v>
      </c>
      <c r="C518" t="s">
        <v>2984</v>
      </c>
      <c r="D518" t="s">
        <v>2971</v>
      </c>
      <c r="E518" t="s">
        <v>3841</v>
      </c>
      <c r="F518" t="s">
        <v>2956</v>
      </c>
    </row>
    <row r="519" spans="2:6">
      <c r="B519" t="s">
        <v>274</v>
      </c>
      <c r="C519" t="s">
        <v>3291</v>
      </c>
      <c r="D519" t="s">
        <v>3709</v>
      </c>
      <c r="E519" t="s">
        <v>4102</v>
      </c>
      <c r="F519" t="s">
        <v>4470</v>
      </c>
    </row>
    <row r="520" spans="2:6">
      <c r="B520" t="s">
        <v>427</v>
      </c>
      <c r="C520" t="s">
        <v>2949</v>
      </c>
      <c r="D520" t="s">
        <v>3398</v>
      </c>
      <c r="E520" t="s">
        <v>842</v>
      </c>
      <c r="F520" t="s">
        <v>3816</v>
      </c>
    </row>
    <row r="521" spans="2:6">
      <c r="B521" t="s">
        <v>45</v>
      </c>
      <c r="C521" t="s">
        <v>2911</v>
      </c>
      <c r="D521" t="s">
        <v>3364</v>
      </c>
      <c r="E521" t="s">
        <v>3783</v>
      </c>
      <c r="F521" t="s">
        <v>4170</v>
      </c>
    </row>
    <row r="522" spans="2:6">
      <c r="B522" t="s">
        <v>104</v>
      </c>
      <c r="C522" t="s">
        <v>2873</v>
      </c>
      <c r="D522" t="s">
        <v>3326</v>
      </c>
      <c r="E522" t="s">
        <v>3744</v>
      </c>
      <c r="F522" t="s">
        <v>4136</v>
      </c>
    </row>
    <row r="523" spans="2:6">
      <c r="B523" t="s">
        <v>374</v>
      </c>
      <c r="C523" t="s">
        <v>3185</v>
      </c>
      <c r="D523" t="s">
        <v>3481</v>
      </c>
      <c r="E523" t="s">
        <v>3039</v>
      </c>
      <c r="F523" t="s">
        <v>3013</v>
      </c>
    </row>
    <row r="524" spans="2:6">
      <c r="B524" t="s">
        <v>36</v>
      </c>
      <c r="C524" t="s">
        <v>3257</v>
      </c>
      <c r="D524" t="s">
        <v>1762</v>
      </c>
      <c r="E524" t="s">
        <v>4068</v>
      </c>
      <c r="F524" t="s">
        <v>4437</v>
      </c>
    </row>
    <row r="525" spans="2:6">
      <c r="B525" t="s">
        <v>819</v>
      </c>
      <c r="C525" t="s">
        <v>2954</v>
      </c>
      <c r="D525" t="s">
        <v>3401</v>
      </c>
      <c r="E525" t="s">
        <v>3817</v>
      </c>
      <c r="F525" t="s">
        <v>4207</v>
      </c>
    </row>
    <row r="526" spans="2:6">
      <c r="B526" t="s">
        <v>391</v>
      </c>
      <c r="C526" t="s">
        <v>3192</v>
      </c>
      <c r="D526" t="s">
        <v>3604</v>
      </c>
      <c r="E526" t="s">
        <v>4002</v>
      </c>
      <c r="F526" t="s">
        <v>4377</v>
      </c>
    </row>
    <row r="527" spans="2:6">
      <c r="B527" t="s">
        <v>323</v>
      </c>
      <c r="C527" t="s">
        <v>2850</v>
      </c>
      <c r="D527" t="s">
        <v>1442</v>
      </c>
      <c r="E527" t="s">
        <v>3881</v>
      </c>
      <c r="F527" t="s">
        <v>3006</v>
      </c>
    </row>
    <row r="528" spans="2:6">
      <c r="B528" t="s">
        <v>341</v>
      </c>
      <c r="C528" t="s">
        <v>3211</v>
      </c>
      <c r="D528" t="s">
        <v>3623</v>
      </c>
      <c r="E528" t="s">
        <v>4020</v>
      </c>
      <c r="F528" t="s">
        <v>4394</v>
      </c>
    </row>
    <row r="529" spans="2:6">
      <c r="B529" t="s">
        <v>237</v>
      </c>
      <c r="C529" t="s">
        <v>3205</v>
      </c>
      <c r="D529" t="s">
        <v>3617</v>
      </c>
      <c r="E529" t="s">
        <v>4014</v>
      </c>
      <c r="F529" t="s">
        <v>4388</v>
      </c>
    </row>
    <row r="530" spans="2:6">
      <c r="B530" t="s">
        <v>18</v>
      </c>
      <c r="C530" t="s">
        <v>2923</v>
      </c>
      <c r="D530" t="s">
        <v>3375</v>
      </c>
      <c r="E530" t="s">
        <v>3794</v>
      </c>
      <c r="F530" t="s">
        <v>4182</v>
      </c>
    </row>
    <row r="531" spans="2:6">
      <c r="B531" t="s">
        <v>59</v>
      </c>
      <c r="C531" t="s">
        <v>2875</v>
      </c>
      <c r="D531" t="s">
        <v>3328</v>
      </c>
      <c r="E531" t="s">
        <v>3746</v>
      </c>
      <c r="F531" t="s">
        <v>4138</v>
      </c>
    </row>
    <row r="532" spans="2:6">
      <c r="B532" t="s">
        <v>91</v>
      </c>
      <c r="C532" t="s">
        <v>3147</v>
      </c>
      <c r="D532" t="s">
        <v>3564</v>
      </c>
      <c r="E532" t="s">
        <v>3962</v>
      </c>
      <c r="F532" t="s">
        <v>4340</v>
      </c>
    </row>
    <row r="533" spans="2:6">
      <c r="B533" t="s">
        <v>194</v>
      </c>
      <c r="C533" t="s">
        <v>3165</v>
      </c>
      <c r="D533" t="s">
        <v>3580</v>
      </c>
      <c r="E533" t="s">
        <v>3978</v>
      </c>
      <c r="F533" t="s">
        <v>4354</v>
      </c>
    </row>
    <row r="534" spans="2:6">
      <c r="B534" t="s">
        <v>490</v>
      </c>
      <c r="C534" t="s">
        <v>3032</v>
      </c>
      <c r="D534" t="s">
        <v>1871</v>
      </c>
      <c r="E534" t="s">
        <v>3876</v>
      </c>
      <c r="F534" t="s">
        <v>4257</v>
      </c>
    </row>
    <row r="535" spans="2:6">
      <c r="B535" t="s">
        <v>89</v>
      </c>
      <c r="C535" t="s">
        <v>2980</v>
      </c>
      <c r="D535" t="s">
        <v>3419</v>
      </c>
      <c r="E535" t="s">
        <v>3832</v>
      </c>
      <c r="F535" t="s">
        <v>4224</v>
      </c>
    </row>
    <row r="536" spans="2:6">
      <c r="B536" t="s">
        <v>41</v>
      </c>
      <c r="C536" t="s">
        <v>2885</v>
      </c>
      <c r="D536" t="s">
        <v>1882</v>
      </c>
      <c r="E536" t="s">
        <v>3756</v>
      </c>
      <c r="F536" t="s">
        <v>4147</v>
      </c>
    </row>
    <row r="537" spans="2:6">
      <c r="B537" t="s">
        <v>169</v>
      </c>
      <c r="C537" t="s">
        <v>3048</v>
      </c>
      <c r="D537" t="s">
        <v>865</v>
      </c>
      <c r="E537" t="s">
        <v>3054</v>
      </c>
      <c r="F537" t="s">
        <v>865</v>
      </c>
    </row>
    <row r="538" spans="2:6">
      <c r="B538" t="s">
        <v>217</v>
      </c>
      <c r="C538" t="s">
        <v>3322</v>
      </c>
      <c r="D538" t="s">
        <v>3740</v>
      </c>
      <c r="E538" t="s">
        <v>3740</v>
      </c>
      <c r="F538" t="s">
        <v>4499</v>
      </c>
    </row>
    <row r="539" spans="2:6">
      <c r="B539" t="s">
        <v>131</v>
      </c>
      <c r="C539" t="s">
        <v>3275</v>
      </c>
      <c r="D539" t="s">
        <v>3693</v>
      </c>
      <c r="E539" t="s">
        <v>4086</v>
      </c>
      <c r="F539" t="s">
        <v>4454</v>
      </c>
    </row>
    <row r="540" spans="2:6">
      <c r="B540" t="s">
        <v>245</v>
      </c>
      <c r="C540" t="s">
        <v>2837</v>
      </c>
      <c r="D540" t="s">
        <v>3053</v>
      </c>
      <c r="E540" t="s">
        <v>1401</v>
      </c>
      <c r="F540" t="s">
        <v>867</v>
      </c>
    </row>
    <row r="541" spans="2:6">
      <c r="B541" t="s">
        <v>814</v>
      </c>
      <c r="C541" t="s">
        <v>2877</v>
      </c>
      <c r="D541" t="s">
        <v>3330</v>
      </c>
      <c r="E541" t="s">
        <v>3748</v>
      </c>
      <c r="F541" t="s">
        <v>4139</v>
      </c>
    </row>
    <row r="542" spans="2:6">
      <c r="B542" t="s">
        <v>321</v>
      </c>
      <c r="C542" t="s">
        <v>3153</v>
      </c>
      <c r="D542" t="s">
        <v>3570</v>
      </c>
      <c r="E542" t="s">
        <v>3968</v>
      </c>
      <c r="F542" t="s">
        <v>4346</v>
      </c>
    </row>
    <row r="543" spans="2:6">
      <c r="B543" t="s">
        <v>828</v>
      </c>
      <c r="C543" t="s">
        <v>1132</v>
      </c>
      <c r="D543" t="s">
        <v>2502</v>
      </c>
      <c r="E543" t="s">
        <v>4064</v>
      </c>
      <c r="F543" t="s">
        <v>4433</v>
      </c>
    </row>
    <row r="544" spans="2:6">
      <c r="B544" t="s">
        <v>238</v>
      </c>
      <c r="C544" t="s">
        <v>3245</v>
      </c>
      <c r="D544" t="s">
        <v>3660</v>
      </c>
      <c r="E544" t="s">
        <v>4056</v>
      </c>
      <c r="F544" t="s">
        <v>4425</v>
      </c>
    </row>
  </sheetData>
  <sortState ref="B6:F544">
    <sortCondition ref="B6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484"/>
  <sheetViews>
    <sheetView topLeftCell="A470" workbookViewId="0">
      <selection activeCell="D393" sqref="D393"/>
    </sheetView>
  </sheetViews>
  <sheetFormatPr defaultRowHeight="15"/>
  <cols>
    <col min="3" max="3" width="37.7109375" bestFit="1" customWidth="1"/>
  </cols>
  <sheetData>
    <row r="5" spans="3:7">
      <c r="C5" t="s">
        <v>4500</v>
      </c>
      <c r="D5" t="s">
        <v>4501</v>
      </c>
      <c r="E5" t="s">
        <v>4502</v>
      </c>
      <c r="F5" t="s">
        <v>4503</v>
      </c>
      <c r="G5" t="s">
        <v>4504</v>
      </c>
    </row>
    <row r="7" spans="3:7">
      <c r="C7" t="s">
        <v>409</v>
      </c>
      <c r="D7" s="6">
        <v>1.12E-2</v>
      </c>
      <c r="E7" s="6">
        <v>5.3E-3</v>
      </c>
      <c r="F7" s="6">
        <v>6.9099999999999995E-2</v>
      </c>
      <c r="G7" s="6">
        <v>8.8999999999999999E-3</v>
      </c>
    </row>
    <row r="8" spans="3:7">
      <c r="C8" t="s">
        <v>23</v>
      </c>
      <c r="D8" s="6">
        <v>0.2031</v>
      </c>
      <c r="E8" s="6">
        <v>0.19059999999999999</v>
      </c>
      <c r="F8" s="6">
        <v>0.19789999999999999</v>
      </c>
      <c r="G8" s="6">
        <v>0.17219999999999999</v>
      </c>
    </row>
    <row r="9" spans="3:7">
      <c r="C9" t="s">
        <v>137</v>
      </c>
      <c r="D9" s="6">
        <v>3.0800000000000001E-2</v>
      </c>
      <c r="E9" s="6">
        <v>3.95E-2</v>
      </c>
      <c r="F9" s="6">
        <v>2.5999999999999999E-3</v>
      </c>
      <c r="G9" s="6">
        <v>-0.1172</v>
      </c>
    </row>
    <row r="10" spans="3:7">
      <c r="C10" t="s">
        <v>25</v>
      </c>
      <c r="D10" s="6">
        <v>5.3600000000000002E-2</v>
      </c>
      <c r="E10" s="6">
        <v>7.2499999999999995E-2</v>
      </c>
      <c r="F10" s="6">
        <v>6.0199999999999997E-2</v>
      </c>
      <c r="G10" s="6">
        <v>5.6599999999999998E-2</v>
      </c>
    </row>
    <row r="11" spans="3:7">
      <c r="C11" t="s">
        <v>48</v>
      </c>
      <c r="D11" s="6">
        <v>1.7000000000000001E-2</v>
      </c>
      <c r="E11" s="6">
        <v>2.1299999999999999E-2</v>
      </c>
      <c r="F11" s="6">
        <v>2.2100000000000002E-2</v>
      </c>
      <c r="G11" s="6">
        <v>1.9900000000000001E-2</v>
      </c>
    </row>
    <row r="12" spans="3:7">
      <c r="C12" t="s">
        <v>111</v>
      </c>
      <c r="D12" s="6">
        <v>2.1000000000000001E-2</v>
      </c>
      <c r="E12" s="6">
        <v>3.2599999999999997E-2</v>
      </c>
      <c r="F12" s="6">
        <v>3.8899999999999997E-2</v>
      </c>
      <c r="G12" s="6">
        <v>2.4799999999999999E-2</v>
      </c>
    </row>
    <row r="13" spans="3:7">
      <c r="C13" t="s">
        <v>63</v>
      </c>
      <c r="D13" s="6">
        <v>2.5100000000000001E-2</v>
      </c>
      <c r="E13" s="6">
        <v>5.0299999999999997E-2</v>
      </c>
      <c r="F13" s="6">
        <v>1.4E-3</v>
      </c>
      <c r="G13" s="6">
        <v>-2.9999999999999997E-4</v>
      </c>
    </row>
    <row r="14" spans="3:7">
      <c r="C14" t="s">
        <v>19</v>
      </c>
      <c r="D14" s="6">
        <v>3.0000000000000001E-3</v>
      </c>
      <c r="E14" s="6">
        <v>2.9999999999999997E-4</v>
      </c>
      <c r="F14" s="6">
        <v>4.0000000000000002E-4</v>
      </c>
      <c r="G14" s="6">
        <v>5.9999999999999995E-4</v>
      </c>
    </row>
    <row r="15" spans="3:7">
      <c r="C15" t="s">
        <v>408</v>
      </c>
      <c r="D15" s="6">
        <v>3.3E-3</v>
      </c>
      <c r="E15" s="6">
        <v>-0.31369999999999998</v>
      </c>
      <c r="F15" s="6">
        <v>-0.30570000000000003</v>
      </c>
      <c r="G15" s="6">
        <v>-5.7700000000000001E-2</v>
      </c>
    </row>
    <row r="16" spans="3:7">
      <c r="C16" t="s">
        <v>239</v>
      </c>
      <c r="D16" s="6">
        <v>7.8799999999999995E-2</v>
      </c>
      <c r="E16" s="6">
        <v>4.7600000000000003E-2</v>
      </c>
      <c r="F16" s="6">
        <v>6.1499999999999999E-2</v>
      </c>
      <c r="G16" s="6">
        <v>9.8500000000000004E-2</v>
      </c>
    </row>
    <row r="17" spans="3:7">
      <c r="C17" t="s">
        <v>267</v>
      </c>
      <c r="D17" s="6">
        <v>-0.18329999999999999</v>
      </c>
      <c r="E17" s="6">
        <v>-0.10050000000000001</v>
      </c>
      <c r="F17" s="6">
        <v>-3.9E-2</v>
      </c>
      <c r="G17" s="6">
        <v>-3.9800000000000002E-2</v>
      </c>
    </row>
    <row r="18" spans="3:7">
      <c r="C18" t="s">
        <v>66</v>
      </c>
      <c r="D18" s="6">
        <v>6.5100000000000005E-2</v>
      </c>
      <c r="E18" s="6">
        <v>7.3599999999999999E-2</v>
      </c>
      <c r="F18" s="6">
        <v>3.8699999999999998E-2</v>
      </c>
      <c r="G18" s="6">
        <v>3.4500000000000003E-2</v>
      </c>
    </row>
    <row r="19" spans="3:7">
      <c r="C19" t="s">
        <v>264</v>
      </c>
      <c r="D19" s="6">
        <v>8.9999999999999998E-4</v>
      </c>
      <c r="E19" s="6">
        <v>2.0000000000000001E-4</v>
      </c>
      <c r="F19" s="6">
        <v>8.9999999999999998E-4</v>
      </c>
      <c r="G19" s="6">
        <v>1.1999999999999999E-3</v>
      </c>
    </row>
    <row r="20" spans="3:7">
      <c r="C20" t="s">
        <v>269</v>
      </c>
      <c r="D20" s="6">
        <v>3.7000000000000002E-3</v>
      </c>
      <c r="E20" s="6">
        <v>6.9800000000000001E-2</v>
      </c>
      <c r="F20" s="6">
        <v>4.8099999999999997E-2</v>
      </c>
      <c r="G20" s="6">
        <v>1.15E-2</v>
      </c>
    </row>
    <row r="21" spans="3:7">
      <c r="C21" t="s">
        <v>71</v>
      </c>
      <c r="D21" s="6">
        <v>2.6200000000000001E-2</v>
      </c>
      <c r="E21" s="6">
        <v>6.7500000000000004E-2</v>
      </c>
      <c r="F21" s="6">
        <v>4.6600000000000003E-2</v>
      </c>
      <c r="G21" s="6">
        <v>4.7300000000000002E-2</v>
      </c>
    </row>
    <row r="22" spans="3:7">
      <c r="C22" t="s">
        <v>477</v>
      </c>
      <c r="D22" s="6">
        <v>1.9099999999999999E-2</v>
      </c>
      <c r="E22" s="6">
        <v>-2.7000000000000001E-3</v>
      </c>
      <c r="F22" s="6">
        <v>-5.7000000000000002E-3</v>
      </c>
      <c r="G22" s="6">
        <v>1.89E-2</v>
      </c>
    </row>
    <row r="23" spans="3:7">
      <c r="C23" t="s">
        <v>392</v>
      </c>
      <c r="D23" s="6">
        <v>3.6700000000000003E-2</v>
      </c>
      <c r="E23" s="6">
        <v>2.9000000000000001E-2</v>
      </c>
      <c r="F23" s="6">
        <v>3.4599999999999999E-2</v>
      </c>
      <c r="G23" s="6">
        <v>6.2100000000000002E-2</v>
      </c>
    </row>
    <row r="24" spans="3:7">
      <c r="C24" t="s">
        <v>233</v>
      </c>
      <c r="D24" s="6">
        <v>-4.5999999999999999E-2</v>
      </c>
      <c r="E24" s="6">
        <v>3.7000000000000002E-3</v>
      </c>
      <c r="F24" s="6">
        <v>2.5000000000000001E-3</v>
      </c>
      <c r="G24" s="6">
        <v>-0.1326</v>
      </c>
    </row>
    <row r="25" spans="3:7">
      <c r="C25" t="s">
        <v>380</v>
      </c>
      <c r="D25" s="6">
        <v>1.3899999999999999E-2</v>
      </c>
      <c r="E25" s="6">
        <v>1.12E-2</v>
      </c>
      <c r="F25" s="6">
        <v>2.8999999999999998E-3</v>
      </c>
      <c r="G25" s="6">
        <v>8.0000000000000004E-4</v>
      </c>
    </row>
    <row r="26" spans="3:7">
      <c r="C26" t="s">
        <v>47</v>
      </c>
      <c r="D26" s="6">
        <v>-2.3900000000000001E-2</v>
      </c>
      <c r="E26" s="6">
        <v>6.7299999999999999E-2</v>
      </c>
      <c r="F26" s="6">
        <v>-2.86E-2</v>
      </c>
      <c r="G26" s="6">
        <v>6.9999999999999999E-4</v>
      </c>
    </row>
    <row r="27" spans="3:7">
      <c r="C27" t="s">
        <v>481</v>
      </c>
      <c r="D27" s="6">
        <v>-1E-3</v>
      </c>
      <c r="E27" s="6">
        <v>-1.52E-2</v>
      </c>
      <c r="F27" s="6">
        <v>2.3E-3</v>
      </c>
      <c r="G27" s="6">
        <v>-2.9999999999999997E-4</v>
      </c>
    </row>
    <row r="28" spans="3:7">
      <c r="C28" t="s">
        <v>360</v>
      </c>
      <c r="D28" s="6">
        <v>1.2999999999999999E-3</v>
      </c>
      <c r="E28" s="6">
        <v>-2.0400000000000001E-2</v>
      </c>
      <c r="F28" s="6">
        <v>3.3700000000000001E-2</v>
      </c>
      <c r="G28" s="6">
        <v>2.4299999999999999E-2</v>
      </c>
    </row>
    <row r="29" spans="3:7">
      <c r="C29" t="s">
        <v>102</v>
      </c>
      <c r="D29" s="6">
        <v>1.0200000000000001E-2</v>
      </c>
      <c r="E29" s="6">
        <v>1.4E-2</v>
      </c>
      <c r="F29" s="6">
        <v>1.5299999999999999E-2</v>
      </c>
      <c r="G29" s="6">
        <v>1.4800000000000001E-2</v>
      </c>
    </row>
    <row r="30" spans="3:7">
      <c r="C30" t="s">
        <v>27</v>
      </c>
      <c r="D30" s="6">
        <v>2.0999999999999999E-3</v>
      </c>
      <c r="E30" s="6">
        <v>4.5999999999999999E-3</v>
      </c>
      <c r="F30" s="6">
        <v>5.2600000000000001E-2</v>
      </c>
      <c r="G30" s="6">
        <v>6.1999999999999998E-3</v>
      </c>
    </row>
    <row r="31" spans="3:7">
      <c r="C31" t="s">
        <v>311</v>
      </c>
      <c r="D31" s="6">
        <v>1.9099999999999999E-2</v>
      </c>
      <c r="E31" s="6">
        <v>5.0000000000000001E-3</v>
      </c>
      <c r="F31" s="6">
        <v>2.2100000000000002E-2</v>
      </c>
      <c r="G31" s="6">
        <v>1.8599999999999998E-2</v>
      </c>
    </row>
    <row r="32" spans="3:7">
      <c r="C32" t="s">
        <v>328</v>
      </c>
      <c r="D32" s="6">
        <v>-0.2087</v>
      </c>
      <c r="E32" s="6">
        <v>-0.1386</v>
      </c>
      <c r="F32" s="6">
        <v>-8.77E-2</v>
      </c>
      <c r="G32" s="6">
        <v>-8.4000000000000005E-2</v>
      </c>
    </row>
    <row r="33" spans="3:7">
      <c r="C33" t="s">
        <v>302</v>
      </c>
      <c r="D33" s="6">
        <v>3.8300000000000001E-2</v>
      </c>
      <c r="E33" s="6">
        <v>3.3500000000000002E-2</v>
      </c>
      <c r="F33" s="6">
        <v>6.9599999999999995E-2</v>
      </c>
      <c r="G33" s="6">
        <v>5.4699999999999999E-2</v>
      </c>
    </row>
    <row r="34" spans="3:7">
      <c r="C34" t="s">
        <v>824</v>
      </c>
      <c r="D34" s="6">
        <v>0.13750000000000001</v>
      </c>
      <c r="E34" s="6">
        <v>3.5299999999999998E-2</v>
      </c>
      <c r="F34" s="6">
        <v>3.8E-3</v>
      </c>
      <c r="G34" s="6">
        <v>3.3999999999999998E-3</v>
      </c>
    </row>
    <row r="35" spans="3:7">
      <c r="C35" t="s">
        <v>339</v>
      </c>
      <c r="D35" s="6">
        <v>0.10290000000000001</v>
      </c>
      <c r="E35" s="6">
        <v>7.0900000000000005E-2</v>
      </c>
      <c r="F35" s="6">
        <v>1.2999999999999999E-2</v>
      </c>
      <c r="G35" s="6">
        <v>2.0400000000000001E-2</v>
      </c>
    </row>
    <row r="36" spans="3:7">
      <c r="C36" t="s">
        <v>478</v>
      </c>
      <c r="D36" s="6">
        <v>-1.1599999999999999E-2</v>
      </c>
      <c r="E36" s="6">
        <v>1.9800000000000002E-2</v>
      </c>
      <c r="F36" s="6">
        <v>3.61E-2</v>
      </c>
      <c r="G36" s="6">
        <v>1.0699999999999999E-2</v>
      </c>
    </row>
    <row r="37" spans="3:7">
      <c r="C37" t="s">
        <v>113</v>
      </c>
      <c r="D37" s="6">
        <v>6.08E-2</v>
      </c>
      <c r="E37" s="6">
        <v>7.6899999999999996E-2</v>
      </c>
      <c r="F37" s="6">
        <v>9.6299999999999997E-2</v>
      </c>
      <c r="G37" s="6">
        <v>0.1249</v>
      </c>
    </row>
    <row r="38" spans="3:7">
      <c r="C38" t="s">
        <v>299</v>
      </c>
      <c r="D38" s="6">
        <v>5.33E-2</v>
      </c>
      <c r="E38" s="6">
        <v>6.6E-3</v>
      </c>
      <c r="F38" s="6">
        <v>8.9999999999999998E-4</v>
      </c>
      <c r="G38" s="6">
        <v>-1.54E-2</v>
      </c>
    </row>
    <row r="39" spans="3:7">
      <c r="C39" t="s">
        <v>144</v>
      </c>
      <c r="D39" s="6">
        <v>-5.1200000000000002E-2</v>
      </c>
      <c r="E39" s="6">
        <v>-1.9099999999999999E-2</v>
      </c>
      <c r="F39" s="6">
        <v>5.4600000000000003E-2</v>
      </c>
      <c r="G39" s="6">
        <v>-4.9599999999999998E-2</v>
      </c>
    </row>
    <row r="40" spans="3:7">
      <c r="C40" t="s">
        <v>277</v>
      </c>
      <c r="D40" s="6">
        <v>-9.0399999999999994E-2</v>
      </c>
      <c r="E40" s="6">
        <v>-8.5599999999999996E-2</v>
      </c>
      <c r="F40" s="6">
        <v>-4.5100000000000001E-2</v>
      </c>
      <c r="G40" s="6">
        <v>-6.25E-2</v>
      </c>
    </row>
    <row r="41" spans="3:7">
      <c r="C41" t="s">
        <v>145</v>
      </c>
      <c r="D41" s="6">
        <v>7.2700000000000001E-2</v>
      </c>
      <c r="E41" s="6">
        <v>3.1699999999999999E-2</v>
      </c>
      <c r="F41" s="6">
        <v>-5.1999999999999998E-2</v>
      </c>
      <c r="G41" s="6">
        <v>2.0899999999999998E-2</v>
      </c>
    </row>
    <row r="42" spans="3:7">
      <c r="C42" t="s">
        <v>155</v>
      </c>
      <c r="D42" s="6">
        <v>8.7800000000000003E-2</v>
      </c>
      <c r="E42" s="6">
        <v>7.9799999999999996E-2</v>
      </c>
      <c r="F42" s="6">
        <v>5.5399999999999998E-2</v>
      </c>
      <c r="G42" s="6">
        <v>7.7999999999999996E-3</v>
      </c>
    </row>
    <row r="43" spans="3:7">
      <c r="C43" t="s">
        <v>185</v>
      </c>
      <c r="D43" s="6">
        <v>0.1444</v>
      </c>
      <c r="E43" s="6">
        <v>0.1244</v>
      </c>
      <c r="F43" s="6">
        <v>0.11550000000000001</v>
      </c>
      <c r="G43" s="6">
        <v>9.7100000000000006E-2</v>
      </c>
    </row>
    <row r="44" spans="3:7">
      <c r="C44" t="s">
        <v>30</v>
      </c>
      <c r="D44" s="6">
        <v>5.9799999999999999E-2</v>
      </c>
      <c r="E44" s="6">
        <v>6.7599999999999993E-2</v>
      </c>
      <c r="F44" s="6">
        <v>6.7699999999999996E-2</v>
      </c>
      <c r="G44" s="6">
        <v>6.2300000000000001E-2</v>
      </c>
    </row>
    <row r="45" spans="3:7">
      <c r="C45" t="s">
        <v>251</v>
      </c>
      <c r="D45" s="6">
        <v>2.8899999999999999E-2</v>
      </c>
      <c r="E45" s="6">
        <v>3.7499999999999999E-2</v>
      </c>
      <c r="F45" s="6">
        <v>3.9899999999999998E-2</v>
      </c>
      <c r="G45" s="6">
        <v>4.6399999999999997E-2</v>
      </c>
    </row>
    <row r="46" spans="3:7">
      <c r="C46" t="s">
        <v>20</v>
      </c>
      <c r="D46" s="6">
        <v>-0.1285</v>
      </c>
      <c r="E46" s="6">
        <v>5.04E-2</v>
      </c>
      <c r="F46" s="6">
        <v>1.46E-2</v>
      </c>
      <c r="G46" s="6">
        <v>1.5800000000000002E-2</v>
      </c>
    </row>
    <row r="47" spans="3:7">
      <c r="C47" t="s">
        <v>207</v>
      </c>
      <c r="D47" s="6">
        <v>0.1429</v>
      </c>
      <c r="E47" s="6">
        <v>0.12740000000000001</v>
      </c>
      <c r="F47" s="6">
        <v>8.4500000000000006E-2</v>
      </c>
      <c r="G47" s="6">
        <v>8.4500000000000006E-2</v>
      </c>
    </row>
    <row r="48" spans="3:7">
      <c r="C48" t="s">
        <v>222</v>
      </c>
      <c r="D48" s="6">
        <v>-7.17E-2</v>
      </c>
      <c r="E48" s="6">
        <v>-4.7199999999999999E-2</v>
      </c>
      <c r="F48" s="6">
        <v>-8.3599999999999994E-2</v>
      </c>
      <c r="G48" s="6">
        <v>-9.7000000000000003E-3</v>
      </c>
    </row>
    <row r="49" spans="3:7">
      <c r="C49" t="s">
        <v>177</v>
      </c>
      <c r="D49" s="6">
        <v>1.8499999999999999E-2</v>
      </c>
      <c r="E49" s="6">
        <v>8.6900000000000005E-2</v>
      </c>
      <c r="F49" s="6">
        <v>-5.0000000000000001E-4</v>
      </c>
      <c r="G49" s="6">
        <v>-6.7999999999999996E-3</v>
      </c>
    </row>
    <row r="50" spans="3:7">
      <c r="C50" t="s">
        <v>317</v>
      </c>
      <c r="D50" s="6">
        <v>-0.45600000000000002</v>
      </c>
      <c r="E50" s="6">
        <v>-0.1764</v>
      </c>
      <c r="F50" s="6">
        <v>-0.1167</v>
      </c>
      <c r="G50" s="6">
        <v>5.9400000000000001E-2</v>
      </c>
    </row>
    <row r="51" spans="3:7">
      <c r="C51" t="s">
        <v>103</v>
      </c>
      <c r="D51" s="6">
        <v>-3.2199999999999999E-2</v>
      </c>
      <c r="E51" s="6">
        <v>-0.1124</v>
      </c>
      <c r="F51" s="6">
        <v>-0.108</v>
      </c>
      <c r="G51" s="6">
        <v>-0.40970000000000001</v>
      </c>
    </row>
    <row r="52" spans="3:7">
      <c r="C52" t="s">
        <v>829</v>
      </c>
      <c r="D52" s="6">
        <v>-0.69930000000000003</v>
      </c>
      <c r="E52" s="6">
        <v>-1.3082</v>
      </c>
      <c r="F52" s="6">
        <v>-1.0066999999999999</v>
      </c>
      <c r="G52" s="6">
        <v>1.9800000000000002E-2</v>
      </c>
    </row>
    <row r="53" spans="3:7">
      <c r="C53" t="s">
        <v>179</v>
      </c>
      <c r="D53" s="6">
        <v>-3.7999999999999999E-2</v>
      </c>
      <c r="E53" s="6">
        <v>-1.9E-2</v>
      </c>
      <c r="F53" s="6">
        <v>0.1988</v>
      </c>
      <c r="G53" s="6">
        <v>-5.5199999999999999E-2</v>
      </c>
    </row>
    <row r="54" spans="3:7">
      <c r="C54" t="s">
        <v>215</v>
      </c>
      <c r="D54" s="6">
        <v>1.8599999999999998E-2</v>
      </c>
      <c r="E54" s="6">
        <v>2.98E-2</v>
      </c>
      <c r="F54" s="6">
        <v>1.72E-2</v>
      </c>
      <c r="G54" s="6">
        <v>1.21E-2</v>
      </c>
    </row>
    <row r="55" spans="3:7">
      <c r="C55" t="s">
        <v>418</v>
      </c>
      <c r="D55" s="6">
        <v>0.15329999999999999</v>
      </c>
      <c r="E55" s="6">
        <v>0.42030000000000001</v>
      </c>
      <c r="F55" s="6">
        <v>0.3034</v>
      </c>
      <c r="G55" s="6">
        <v>0.1229</v>
      </c>
    </row>
    <row r="56" spans="3:7">
      <c r="C56" t="s">
        <v>6</v>
      </c>
      <c r="D56" s="6">
        <v>5.4600000000000003E-2</v>
      </c>
      <c r="E56" s="6">
        <v>3.7999999999999999E-2</v>
      </c>
      <c r="F56" s="6">
        <v>1.35E-2</v>
      </c>
      <c r="G56" s="6">
        <v>6.1999999999999998E-3</v>
      </c>
    </row>
    <row r="57" spans="3:7">
      <c r="C57" t="s">
        <v>398</v>
      </c>
      <c r="D57" s="6">
        <v>3.2599999999999997E-2</v>
      </c>
      <c r="E57" s="6">
        <v>0.37330000000000002</v>
      </c>
      <c r="F57" s="6">
        <v>0.49070000000000003</v>
      </c>
      <c r="G57" s="6">
        <v>0.18390000000000001</v>
      </c>
    </row>
    <row r="58" spans="3:7">
      <c r="C58" t="s">
        <v>314</v>
      </c>
      <c r="D58" s="6">
        <v>4.2000000000000003E-2</v>
      </c>
      <c r="E58" s="6">
        <v>4.6899999999999997E-2</v>
      </c>
      <c r="F58" s="6">
        <v>5.11E-2</v>
      </c>
      <c r="G58" s="6">
        <v>5.91E-2</v>
      </c>
    </row>
    <row r="59" spans="3:7">
      <c r="C59" t="s">
        <v>160</v>
      </c>
      <c r="D59" s="6">
        <v>9.2999999999999992E-3</v>
      </c>
      <c r="E59" s="6">
        <v>7.3700000000000002E-2</v>
      </c>
      <c r="F59" s="6">
        <v>2.8199999999999999E-2</v>
      </c>
      <c r="G59" s="6">
        <v>3.2000000000000001E-2</v>
      </c>
    </row>
    <row r="60" spans="3:7">
      <c r="C60" t="s">
        <v>56</v>
      </c>
      <c r="D60" s="6">
        <v>6.83E-2</v>
      </c>
      <c r="E60" s="6">
        <v>8.8499999999999995E-2</v>
      </c>
      <c r="F60" s="6">
        <v>7.0400000000000004E-2</v>
      </c>
      <c r="G60" s="6">
        <v>5.9900000000000002E-2</v>
      </c>
    </row>
    <row r="61" spans="3:7">
      <c r="C61" t="s">
        <v>282</v>
      </c>
      <c r="D61" s="6">
        <v>-0.15959999999999999</v>
      </c>
      <c r="E61" s="6">
        <v>-3.4799999999999998E-2</v>
      </c>
      <c r="F61" s="6">
        <v>-4.2000000000000003E-2</v>
      </c>
      <c r="G61" s="6">
        <v>3.2000000000000002E-3</v>
      </c>
    </row>
    <row r="62" spans="3:7">
      <c r="C62" t="s">
        <v>332</v>
      </c>
      <c r="D62" s="6">
        <v>-0.16159999999999999</v>
      </c>
      <c r="E62" s="6">
        <v>-0.1</v>
      </c>
      <c r="F62" s="6">
        <v>7.0900000000000005E-2</v>
      </c>
      <c r="G62" s="6">
        <v>-1.26E-2</v>
      </c>
    </row>
    <row r="63" spans="3:7">
      <c r="C63" t="s">
        <v>227</v>
      </c>
      <c r="D63" s="6">
        <v>6.1999999999999998E-3</v>
      </c>
      <c r="E63" s="6">
        <v>-8.5099999999999995E-2</v>
      </c>
      <c r="F63" s="6">
        <v>-1.52E-2</v>
      </c>
      <c r="G63" s="6">
        <v>-6.7699999999999996E-2</v>
      </c>
    </row>
    <row r="64" spans="3:7">
      <c r="C64" t="s">
        <v>178</v>
      </c>
      <c r="D64" s="6">
        <v>-3.32E-2</v>
      </c>
      <c r="E64" s="6">
        <v>6.3E-2</v>
      </c>
      <c r="F64" s="6">
        <v>0.13880000000000001</v>
      </c>
      <c r="G64" s="6">
        <v>6.1000000000000004E-3</v>
      </c>
    </row>
    <row r="65" spans="3:7">
      <c r="C65" t="s">
        <v>200</v>
      </c>
      <c r="D65" s="6">
        <v>1.9099999999999999E-2</v>
      </c>
      <c r="E65" s="6">
        <v>-9.4000000000000004E-3</v>
      </c>
      <c r="F65" s="6">
        <v>-2.4299999999999999E-2</v>
      </c>
      <c r="G65" s="6">
        <v>-5.0000000000000001E-4</v>
      </c>
    </row>
    <row r="66" spans="3:7">
      <c r="C66" t="s">
        <v>275</v>
      </c>
      <c r="D66" s="6">
        <v>-1.01E-2</v>
      </c>
      <c r="E66" s="6">
        <v>-1.03E-2</v>
      </c>
      <c r="F66" s="6">
        <v>-1.15E-2</v>
      </c>
      <c r="G66" s="6">
        <v>-1.06E-2</v>
      </c>
    </row>
    <row r="67" spans="3:7">
      <c r="C67" t="s">
        <v>400</v>
      </c>
      <c r="D67" s="6">
        <v>-3.7999999999999999E-2</v>
      </c>
      <c r="E67" s="6">
        <v>-6.1999999999999998E-3</v>
      </c>
      <c r="F67" s="6">
        <v>1.01E-2</v>
      </c>
      <c r="G67" s="6">
        <v>8.5000000000000006E-3</v>
      </c>
    </row>
    <row r="68" spans="3:7">
      <c r="C68" t="s">
        <v>67</v>
      </c>
      <c r="D68" s="6">
        <v>3.27E-2</v>
      </c>
      <c r="E68" s="6">
        <v>1.7299999999999999E-2</v>
      </c>
      <c r="F68" s="6">
        <v>2.1399999999999999E-2</v>
      </c>
      <c r="G68" s="6">
        <v>1.7000000000000001E-2</v>
      </c>
    </row>
    <row r="69" spans="3:7">
      <c r="C69" t="s">
        <v>212</v>
      </c>
      <c r="D69" s="6">
        <v>0.14749999999999999</v>
      </c>
      <c r="E69" s="6">
        <v>0.16</v>
      </c>
      <c r="F69" s="6">
        <v>0.14990000000000001</v>
      </c>
      <c r="G69" s="6">
        <v>0.1075</v>
      </c>
    </row>
    <row r="70" spans="3:7">
      <c r="C70" t="s">
        <v>345</v>
      </c>
      <c r="D70" s="6">
        <v>-0.1115</v>
      </c>
      <c r="E70" s="6">
        <v>-1.9400000000000001E-2</v>
      </c>
      <c r="F70" s="6">
        <v>-0.316</v>
      </c>
      <c r="G70" s="6">
        <v>-0.14729999999999999</v>
      </c>
    </row>
    <row r="71" spans="3:7">
      <c r="C71" t="s">
        <v>244</v>
      </c>
      <c r="D71" s="6">
        <v>7.0199999999999999E-2</v>
      </c>
      <c r="E71" s="6">
        <v>6.1499999999999999E-2</v>
      </c>
      <c r="F71" s="6">
        <v>6.7900000000000002E-2</v>
      </c>
      <c r="G71" s="6">
        <v>4.3799999999999999E-2</v>
      </c>
    </row>
    <row r="72" spans="3:7">
      <c r="C72" t="s">
        <v>496</v>
      </c>
      <c r="D72" s="6">
        <v>-0.14449999999999999</v>
      </c>
      <c r="E72" s="6">
        <v>8.5500000000000007E-2</v>
      </c>
      <c r="F72" s="6">
        <v>4.9399999999999999E-2</v>
      </c>
      <c r="G72" s="6">
        <v>3.8999999999999998E-3</v>
      </c>
    </row>
    <row r="73" spans="3:7">
      <c r="C73" t="s">
        <v>39</v>
      </c>
      <c r="D73" s="6">
        <v>4.0000000000000002E-4</v>
      </c>
      <c r="E73" s="6">
        <v>5.9999999999999995E-4</v>
      </c>
      <c r="F73" s="6">
        <v>0</v>
      </c>
      <c r="G73" s="6">
        <v>3.3E-3</v>
      </c>
    </row>
    <row r="74" spans="3:7">
      <c r="C74" t="s">
        <v>52</v>
      </c>
      <c r="D74" s="6">
        <v>2.2000000000000001E-3</v>
      </c>
      <c r="E74" s="6">
        <v>3.1099999999999999E-2</v>
      </c>
      <c r="F74" s="6">
        <v>4.2200000000000001E-2</v>
      </c>
      <c r="G74" s="6">
        <v>4.7699999999999999E-2</v>
      </c>
    </row>
    <row r="75" spans="3:7">
      <c r="C75" t="s">
        <v>134</v>
      </c>
      <c r="D75" s="6">
        <v>1.09E-2</v>
      </c>
      <c r="E75" s="6">
        <v>1.4E-2</v>
      </c>
      <c r="F75" s="6">
        <v>1.52E-2</v>
      </c>
      <c r="G75" s="6">
        <v>1.9199999999999998E-2</v>
      </c>
    </row>
    <row r="76" spans="3:7">
      <c r="C76" t="s">
        <v>259</v>
      </c>
      <c r="D76" s="6">
        <v>3.0599999999999999E-2</v>
      </c>
      <c r="E76" s="6">
        <v>6.2600000000000003E-2</v>
      </c>
      <c r="F76" s="6">
        <v>0.14180000000000001</v>
      </c>
      <c r="G76" s="6">
        <v>0.1075</v>
      </c>
    </row>
    <row r="77" spans="3:7">
      <c r="C77" t="s">
        <v>32</v>
      </c>
      <c r="D77" s="6">
        <v>0.11310000000000001</v>
      </c>
      <c r="E77" s="6">
        <v>0.22070000000000001</v>
      </c>
      <c r="F77" s="6">
        <v>0.2177</v>
      </c>
      <c r="G77" s="6">
        <v>0.16139999999999999</v>
      </c>
    </row>
    <row r="78" spans="3:7">
      <c r="C78" t="s">
        <v>276</v>
      </c>
      <c r="D78" s="6">
        <v>-3.6799999999999999E-2</v>
      </c>
      <c r="E78" s="6">
        <v>-5.5E-2</v>
      </c>
      <c r="F78" s="6">
        <v>-4.7399999999999998E-2</v>
      </c>
      <c r="G78" s="6">
        <v>-3.8800000000000001E-2</v>
      </c>
    </row>
    <row r="79" spans="3:7">
      <c r="C79" t="s">
        <v>273</v>
      </c>
      <c r="D79" s="6">
        <v>-3.8999999999999998E-3</v>
      </c>
      <c r="E79" s="6">
        <v>-1.17E-2</v>
      </c>
      <c r="F79" s="6">
        <v>8.8000000000000005E-3</v>
      </c>
      <c r="G79" s="6">
        <v>-1.2200000000000001E-2</v>
      </c>
    </row>
    <row r="80" spans="3:7">
      <c r="C80" t="s">
        <v>106</v>
      </c>
      <c r="D80" s="6">
        <v>6.7400000000000002E-2</v>
      </c>
      <c r="E80" s="6">
        <v>6.4500000000000002E-2</v>
      </c>
      <c r="F80" s="6">
        <v>5.8000000000000003E-2</v>
      </c>
      <c r="G80" s="6">
        <v>2.58E-2</v>
      </c>
    </row>
    <row r="81" spans="3:7">
      <c r="C81" t="s">
        <v>8</v>
      </c>
      <c r="D81" s="6">
        <v>-0.2056</v>
      </c>
      <c r="E81" s="6">
        <v>-0.2399</v>
      </c>
      <c r="F81" s="6">
        <v>-0.13289999999999999</v>
      </c>
      <c r="G81" s="6">
        <v>1.8E-3</v>
      </c>
    </row>
    <row r="82" spans="3:7">
      <c r="C82" t="s">
        <v>2</v>
      </c>
      <c r="D82" s="6">
        <v>2.0799999999999999E-2</v>
      </c>
      <c r="E82" s="6">
        <v>0.10979999999999999</v>
      </c>
      <c r="F82" s="6">
        <v>5.8000000000000003E-2</v>
      </c>
      <c r="G82" s="6">
        <v>1.8E-3</v>
      </c>
    </row>
    <row r="83" spans="3:7">
      <c r="C83" t="s">
        <v>42</v>
      </c>
      <c r="D83" s="6">
        <v>4.82E-2</v>
      </c>
      <c r="E83" s="6">
        <v>0.11650000000000001</v>
      </c>
      <c r="F83" s="6">
        <v>2.64E-2</v>
      </c>
      <c r="G83" s="6">
        <v>5.2299999999999999E-2</v>
      </c>
    </row>
    <row r="84" spans="3:7">
      <c r="C84" t="s">
        <v>247</v>
      </c>
      <c r="D84" s="6">
        <v>-1.6500000000000001E-2</v>
      </c>
      <c r="E84" s="6">
        <v>-6.1999999999999998E-3</v>
      </c>
      <c r="F84" s="6">
        <v>1.4500000000000001E-2</v>
      </c>
      <c r="G84" s="6">
        <v>-1.6500000000000001E-2</v>
      </c>
    </row>
    <row r="85" spans="3:7">
      <c r="C85" t="s">
        <v>381</v>
      </c>
      <c r="D85" s="6">
        <v>0.12479999999999999</v>
      </c>
      <c r="E85" s="6">
        <v>0.1013</v>
      </c>
      <c r="F85" s="6">
        <v>0.13500000000000001</v>
      </c>
      <c r="G85" s="6">
        <v>0.129</v>
      </c>
    </row>
    <row r="86" spans="3:7">
      <c r="C86" t="s">
        <v>371</v>
      </c>
      <c r="D86" s="6">
        <v>1.03E-2</v>
      </c>
      <c r="E86" s="6">
        <v>8.6E-3</v>
      </c>
      <c r="F86" s="6">
        <v>4.5900000000000003E-2</v>
      </c>
      <c r="G86" s="6">
        <v>6.3E-3</v>
      </c>
    </row>
    <row r="87" spans="3:7">
      <c r="C87" t="s">
        <v>492</v>
      </c>
      <c r="D87" s="6">
        <v>5.1900000000000002E-2</v>
      </c>
      <c r="E87" s="6">
        <v>3.8699999999999998E-2</v>
      </c>
      <c r="F87" s="6">
        <v>5.5899999999999998E-2</v>
      </c>
      <c r="G87" s="6">
        <v>7.4499999999999997E-2</v>
      </c>
    </row>
    <row r="88" spans="3:7">
      <c r="C88" t="s">
        <v>343</v>
      </c>
      <c r="D88" s="6">
        <v>-6.3600000000000004E-2</v>
      </c>
      <c r="E88" s="6">
        <v>0.1</v>
      </c>
      <c r="F88" s="6">
        <v>-0.57269999999999999</v>
      </c>
      <c r="G88" s="6">
        <v>-8.2799999999999999E-2</v>
      </c>
    </row>
    <row r="89" spans="3:7">
      <c r="C89" t="s">
        <v>96</v>
      </c>
      <c r="D89" s="6">
        <v>7.8899999999999998E-2</v>
      </c>
      <c r="E89" s="6">
        <v>7.0699999999999999E-2</v>
      </c>
      <c r="F89" s="6">
        <v>-7.1999999999999998E-3</v>
      </c>
      <c r="G89" s="6">
        <v>-7.8299999999999995E-2</v>
      </c>
    </row>
    <row r="90" spans="3:7">
      <c r="C90" t="s">
        <v>127</v>
      </c>
      <c r="D90" s="6">
        <v>1.8599999999999998E-2</v>
      </c>
      <c r="E90" s="6">
        <v>1.66E-2</v>
      </c>
      <c r="F90" s="6">
        <v>1.4200000000000001E-2</v>
      </c>
      <c r="G90" s="6">
        <v>9.7999999999999997E-3</v>
      </c>
    </row>
    <row r="91" spans="3:7">
      <c r="C91" t="s">
        <v>191</v>
      </c>
      <c r="D91" s="6">
        <v>-4.8500000000000001E-2</v>
      </c>
      <c r="E91" s="6">
        <v>-1.6199999999999999E-2</v>
      </c>
      <c r="F91" s="6">
        <v>-2.1600000000000001E-2</v>
      </c>
      <c r="G91" s="6">
        <v>-1.49E-2</v>
      </c>
    </row>
    <row r="92" spans="3:7">
      <c r="C92" t="s">
        <v>187</v>
      </c>
      <c r="D92" s="6">
        <v>-0.2424</v>
      </c>
      <c r="E92" s="6">
        <v>-0.36680000000000001</v>
      </c>
      <c r="F92" s="6">
        <v>0.25369999999999998</v>
      </c>
      <c r="G92" s="6">
        <v>-5.5500000000000001E-2</v>
      </c>
    </row>
    <row r="93" spans="3:7">
      <c r="C93" t="s">
        <v>136</v>
      </c>
      <c r="D93" s="6">
        <v>-2.29E-2</v>
      </c>
      <c r="E93" s="6">
        <v>-4.1000000000000002E-2</v>
      </c>
      <c r="F93" s="6">
        <v>7.3000000000000001E-3</v>
      </c>
      <c r="G93" s="6">
        <v>1.6000000000000001E-3</v>
      </c>
    </row>
    <row r="94" spans="3:7">
      <c r="C94" t="s">
        <v>406</v>
      </c>
      <c r="D94" s="6">
        <v>-3.9E-2</v>
      </c>
      <c r="E94" s="6">
        <v>-3.1899999999999998E-2</v>
      </c>
      <c r="F94" s="6">
        <v>-4.3E-3</v>
      </c>
      <c r="G94" s="6">
        <v>-4.8500000000000001E-2</v>
      </c>
    </row>
    <row r="95" spans="3:7">
      <c r="C95" t="s">
        <v>220</v>
      </c>
      <c r="D95" s="6">
        <v>0.11360000000000001</v>
      </c>
      <c r="E95" s="6">
        <v>0.10920000000000001</v>
      </c>
      <c r="F95" s="6">
        <v>6.2399999999999997E-2</v>
      </c>
      <c r="G95" s="6">
        <v>7.3400000000000007E-2</v>
      </c>
    </row>
    <row r="96" spans="3:7">
      <c r="C96" t="s">
        <v>35</v>
      </c>
      <c r="D96" s="6">
        <v>0.15029999999999999</v>
      </c>
      <c r="E96" s="6">
        <v>0.1245</v>
      </c>
      <c r="F96" s="6">
        <v>5.8999999999999997E-2</v>
      </c>
      <c r="G96" s="6">
        <v>6.8999999999999999E-3</v>
      </c>
    </row>
    <row r="97" spans="3:7">
      <c r="C97" t="s">
        <v>95</v>
      </c>
      <c r="D97" s="6">
        <v>9.0399999999999994E-2</v>
      </c>
      <c r="E97" s="6">
        <v>0.1026</v>
      </c>
      <c r="F97" s="6">
        <v>0.17460000000000001</v>
      </c>
      <c r="G97" s="6">
        <v>0.1275</v>
      </c>
    </row>
    <row r="98" spans="3:7">
      <c r="C98" t="s">
        <v>109</v>
      </c>
      <c r="D98" s="6">
        <v>4.9399999999999999E-2</v>
      </c>
      <c r="E98" s="6">
        <v>6.3200000000000006E-2</v>
      </c>
      <c r="F98" s="6">
        <v>2.6499999999999999E-2</v>
      </c>
      <c r="G98" s="6">
        <v>1.4E-2</v>
      </c>
    </row>
    <row r="99" spans="3:7">
      <c r="C99" t="s">
        <v>77</v>
      </c>
      <c r="D99" s="6">
        <v>3.6900000000000002E-2</v>
      </c>
      <c r="E99" s="6">
        <v>2.93E-2</v>
      </c>
      <c r="F99" s="6">
        <v>3.5799999999999998E-2</v>
      </c>
      <c r="G99" s="6">
        <v>3.2899999999999999E-2</v>
      </c>
    </row>
    <row r="100" spans="3:7">
      <c r="C100" t="s">
        <v>396</v>
      </c>
      <c r="D100" s="6">
        <v>-9.6000000000000002E-2</v>
      </c>
      <c r="E100" s="6">
        <v>1.7600000000000001E-2</v>
      </c>
      <c r="F100" s="6">
        <v>0.22239999999999999</v>
      </c>
      <c r="G100" s="6">
        <v>0.1845</v>
      </c>
    </row>
    <row r="101" spans="3:7">
      <c r="C101" t="s">
        <v>265</v>
      </c>
      <c r="D101" s="6">
        <v>3.4200000000000001E-2</v>
      </c>
      <c r="E101" s="6">
        <v>7.1999999999999998E-3</v>
      </c>
      <c r="F101" s="6">
        <v>6.4000000000000003E-3</v>
      </c>
      <c r="G101" s="6">
        <v>-3.4599999999999999E-2</v>
      </c>
    </row>
    <row r="102" spans="3:7">
      <c r="C102" t="s">
        <v>235</v>
      </c>
      <c r="D102" s="6">
        <v>6.9400000000000003E-2</v>
      </c>
      <c r="E102" s="6">
        <v>7.3099999999999998E-2</v>
      </c>
      <c r="F102" s="6">
        <v>6.25E-2</v>
      </c>
      <c r="G102" s="6">
        <v>5.2499999999999998E-2</v>
      </c>
    </row>
    <row r="103" spans="3:7">
      <c r="C103" t="s">
        <v>338</v>
      </c>
      <c r="D103" s="6">
        <v>-4.9099999999999998E-2</v>
      </c>
      <c r="E103" s="6">
        <v>-4.2200000000000001E-2</v>
      </c>
      <c r="F103" s="6">
        <v>-3.0300000000000001E-2</v>
      </c>
      <c r="G103" s="6">
        <v>-2.3599999999999999E-2</v>
      </c>
    </row>
    <row r="104" spans="3:7">
      <c r="C104" t="s">
        <v>407</v>
      </c>
      <c r="D104" s="6">
        <v>-4.7999999999999996E-3</v>
      </c>
      <c r="E104" s="6">
        <v>-7.8200000000000006E-2</v>
      </c>
      <c r="F104" s="6">
        <v>-3.7900000000000003E-2</v>
      </c>
      <c r="G104" s="6">
        <v>1.01E-2</v>
      </c>
    </row>
    <row r="105" spans="3:7">
      <c r="C105" t="s">
        <v>129</v>
      </c>
      <c r="D105" s="6">
        <v>-1.0699999999999999E-2</v>
      </c>
      <c r="E105" s="6">
        <v>-1.8E-3</v>
      </c>
      <c r="F105" s="6">
        <v>-8.6E-3</v>
      </c>
      <c r="G105" s="6">
        <v>-2.5999999999999999E-3</v>
      </c>
    </row>
    <row r="106" spans="3:7">
      <c r="C106" t="s">
        <v>188</v>
      </c>
      <c r="D106" s="6">
        <v>0.11360000000000001</v>
      </c>
      <c r="E106" s="6">
        <v>6.9500000000000006E-2</v>
      </c>
      <c r="F106" s="6">
        <v>4.87E-2</v>
      </c>
      <c r="G106" s="6">
        <v>5.16E-2</v>
      </c>
    </row>
    <row r="107" spans="3:7">
      <c r="C107" t="s">
        <v>368</v>
      </c>
      <c r="D107" s="6">
        <v>6.3E-3</v>
      </c>
      <c r="E107" s="6">
        <v>1.7999999999999999E-2</v>
      </c>
      <c r="F107" s="6">
        <v>3.8E-3</v>
      </c>
      <c r="G107" s="6">
        <v>2.3E-3</v>
      </c>
    </row>
    <row r="108" spans="3:7">
      <c r="C108" t="s">
        <v>121</v>
      </c>
      <c r="D108" s="6">
        <v>-6.7000000000000002E-3</v>
      </c>
      <c r="E108" s="6">
        <v>-1.95E-2</v>
      </c>
      <c r="F108" s="6">
        <v>-6.1400000000000003E-2</v>
      </c>
      <c r="G108" s="6">
        <v>-6.1400000000000003E-2</v>
      </c>
    </row>
    <row r="109" spans="3:7">
      <c r="C109" t="s">
        <v>501</v>
      </c>
      <c r="D109" s="6">
        <v>-4.2900000000000001E-2</v>
      </c>
      <c r="E109" s="6">
        <v>1.4800000000000001E-2</v>
      </c>
      <c r="F109" s="6">
        <v>2.7000000000000001E-3</v>
      </c>
      <c r="G109" s="6">
        <v>1.7500000000000002E-2</v>
      </c>
    </row>
    <row r="110" spans="3:7">
      <c r="C110" t="s">
        <v>3</v>
      </c>
      <c r="D110" s="6">
        <v>1.4E-3</v>
      </c>
      <c r="E110" s="6">
        <v>7.0000000000000001E-3</v>
      </c>
      <c r="F110" s="6">
        <v>6.3E-3</v>
      </c>
      <c r="G110" s="6">
        <v>7.7999999999999996E-3</v>
      </c>
    </row>
    <row r="111" spans="3:7">
      <c r="C111" t="s">
        <v>219</v>
      </c>
      <c r="D111" s="6">
        <v>0.1046</v>
      </c>
      <c r="E111" s="6">
        <v>0.1023</v>
      </c>
      <c r="F111" s="6">
        <v>0.1207</v>
      </c>
      <c r="G111" s="6">
        <v>0.1263</v>
      </c>
    </row>
    <row r="112" spans="3:7">
      <c r="C112" t="s">
        <v>252</v>
      </c>
      <c r="D112" s="6">
        <v>0.22689999999999999</v>
      </c>
      <c r="E112" s="6">
        <v>0.22040000000000001</v>
      </c>
      <c r="F112" s="6">
        <v>0.2361</v>
      </c>
      <c r="G112" s="6">
        <v>0.21560000000000001</v>
      </c>
    </row>
    <row r="113" spans="3:7">
      <c r="C113" t="s">
        <v>12</v>
      </c>
      <c r="D113" s="6">
        <v>4.3299999999999998E-2</v>
      </c>
      <c r="E113" s="6">
        <v>5.11E-2</v>
      </c>
      <c r="F113" s="6">
        <v>7.0999999999999994E-2</v>
      </c>
      <c r="G113" s="6">
        <v>1.7299999999999999E-2</v>
      </c>
    </row>
    <row r="114" spans="3:7">
      <c r="C114" t="s">
        <v>415</v>
      </c>
      <c r="D114" s="6">
        <v>5.9700000000000003E-2</v>
      </c>
      <c r="E114" s="6">
        <v>6.4100000000000004E-2</v>
      </c>
      <c r="F114" s="6">
        <v>7.6E-3</v>
      </c>
      <c r="G114" s="6">
        <v>-3.2599999999999997E-2</v>
      </c>
    </row>
    <row r="115" spans="3:7">
      <c r="C115" t="s">
        <v>370</v>
      </c>
      <c r="D115" s="6">
        <v>-4.1999999999999997E-3</v>
      </c>
      <c r="E115" s="6">
        <v>3.3E-3</v>
      </c>
      <c r="F115" s="6">
        <v>1.4999999999999999E-2</v>
      </c>
      <c r="G115" s="6">
        <v>-5.9999999999999995E-4</v>
      </c>
    </row>
    <row r="116" spans="3:7">
      <c r="C116" t="s">
        <v>163</v>
      </c>
      <c r="D116" s="6">
        <v>1.8200000000000001E-2</v>
      </c>
      <c r="E116" s="6">
        <v>1.9400000000000001E-2</v>
      </c>
      <c r="F116" s="6">
        <v>2.24E-2</v>
      </c>
      <c r="G116" s="6">
        <v>2.12E-2</v>
      </c>
    </row>
    <row r="117" spans="3:7">
      <c r="C117" t="s">
        <v>261</v>
      </c>
      <c r="D117" s="6">
        <v>3.1300000000000001E-2</v>
      </c>
      <c r="E117" s="6">
        <v>6.9199999999999998E-2</v>
      </c>
      <c r="F117" s="6">
        <v>4.1700000000000001E-2</v>
      </c>
      <c r="G117" s="6">
        <v>1.54E-2</v>
      </c>
    </row>
    <row r="118" spans="3:7">
      <c r="C118" t="s">
        <v>412</v>
      </c>
      <c r="D118" s="6">
        <v>2.8000000000000001E-2</v>
      </c>
      <c r="E118" s="6">
        <v>3.4099999999999998E-2</v>
      </c>
      <c r="F118" s="6">
        <v>2.92E-2</v>
      </c>
      <c r="G118" s="6">
        <v>1.41E-2</v>
      </c>
    </row>
    <row r="119" spans="3:7">
      <c r="C119" t="s">
        <v>372</v>
      </c>
      <c r="D119" s="6">
        <v>9.4200000000000006E-2</v>
      </c>
      <c r="E119" s="6">
        <v>2.12E-2</v>
      </c>
      <c r="F119" s="6">
        <v>1.9699999999999999E-2</v>
      </c>
      <c r="G119" s="6">
        <v>9.64E-2</v>
      </c>
    </row>
    <row r="120" spans="3:7">
      <c r="C120" t="s">
        <v>206</v>
      </c>
      <c r="D120" s="6">
        <v>5.5800000000000002E-2</v>
      </c>
      <c r="E120" s="6">
        <v>5.6099999999999997E-2</v>
      </c>
      <c r="F120" s="6">
        <v>4.1000000000000003E-3</v>
      </c>
      <c r="G120" s="6">
        <v>-0.17050000000000001</v>
      </c>
    </row>
    <row r="121" spans="3:7">
      <c r="C121" t="s">
        <v>293</v>
      </c>
      <c r="D121" s="6">
        <v>3.2500000000000001E-2</v>
      </c>
      <c r="E121" s="6">
        <v>4.8999999999999998E-3</v>
      </c>
      <c r="F121" s="6">
        <v>2E-3</v>
      </c>
      <c r="G121" s="6">
        <v>-3.78E-2</v>
      </c>
    </row>
    <row r="122" spans="3:7">
      <c r="C122" t="s">
        <v>324</v>
      </c>
      <c r="D122" s="6">
        <v>-0.1479</v>
      </c>
      <c r="E122" s="6">
        <v>-1.6799999999999999E-2</v>
      </c>
      <c r="F122" s="6">
        <v>1.5100000000000001E-2</v>
      </c>
      <c r="G122" s="6">
        <v>3.2500000000000001E-2</v>
      </c>
    </row>
    <row r="123" spans="3:7">
      <c r="C123" t="s">
        <v>422</v>
      </c>
      <c r="D123" s="6">
        <v>3.9600000000000003E-2</v>
      </c>
      <c r="E123" s="6">
        <v>2.3300000000000001E-2</v>
      </c>
      <c r="F123" s="6">
        <v>3.3000000000000002E-2</v>
      </c>
      <c r="G123" s="6">
        <v>1.61E-2</v>
      </c>
    </row>
    <row r="124" spans="3:7">
      <c r="C124" t="s">
        <v>386</v>
      </c>
      <c r="D124" s="6">
        <v>7.5200000000000003E-2</v>
      </c>
      <c r="E124" s="6">
        <v>5.28E-2</v>
      </c>
      <c r="F124" s="6">
        <v>7.85E-2</v>
      </c>
      <c r="G124" s="6">
        <v>8.3500000000000005E-2</v>
      </c>
    </row>
    <row r="125" spans="3:7">
      <c r="C125" t="s">
        <v>493</v>
      </c>
      <c r="D125" s="6">
        <v>-8.09E-2</v>
      </c>
      <c r="E125" s="6">
        <v>-0.59079999999999999</v>
      </c>
      <c r="F125" s="6">
        <v>-2.29E-2</v>
      </c>
      <c r="G125" s="6">
        <v>-1.7600000000000001E-2</v>
      </c>
    </row>
    <row r="126" spans="3:7">
      <c r="C126" t="s">
        <v>151</v>
      </c>
      <c r="D126" s="6">
        <v>-3.7400000000000003E-2</v>
      </c>
      <c r="E126" s="6">
        <v>6.1000000000000004E-3</v>
      </c>
      <c r="F126" s="6">
        <v>5.7099999999999998E-2</v>
      </c>
      <c r="G126" s="6">
        <v>1.5800000000000002E-2</v>
      </c>
    </row>
    <row r="127" spans="3:7">
      <c r="C127" t="s">
        <v>17</v>
      </c>
      <c r="D127" s="6">
        <v>-2.3E-2</v>
      </c>
      <c r="E127" s="6">
        <v>-1.44E-2</v>
      </c>
      <c r="F127" s="6">
        <v>-2.7799999999999998E-2</v>
      </c>
      <c r="G127" s="6">
        <v>-7.1199999999999999E-2</v>
      </c>
    </row>
    <row r="128" spans="3:7">
      <c r="C128" t="s">
        <v>295</v>
      </c>
      <c r="D128" s="6">
        <v>-8.8300000000000003E-2</v>
      </c>
      <c r="E128" s="6">
        <v>-0.13600000000000001</v>
      </c>
      <c r="F128" s="6">
        <v>-0.105</v>
      </c>
      <c r="G128" s="6">
        <v>-2.23E-2</v>
      </c>
    </row>
    <row r="129" spans="3:7">
      <c r="C129" t="s">
        <v>182</v>
      </c>
      <c r="D129" s="6">
        <v>0.1608</v>
      </c>
      <c r="E129" s="6">
        <v>0.10050000000000001</v>
      </c>
      <c r="F129" s="6">
        <v>8.77E-2</v>
      </c>
      <c r="G129" s="6">
        <v>8.1000000000000003E-2</v>
      </c>
    </row>
    <row r="130" spans="3:7">
      <c r="C130" t="s">
        <v>815</v>
      </c>
      <c r="D130" s="6">
        <v>1.8700000000000001E-2</v>
      </c>
      <c r="E130" s="6">
        <v>2.0999999999999999E-3</v>
      </c>
      <c r="F130" s="6">
        <v>-0.12559999999999999</v>
      </c>
      <c r="G130" s="6">
        <v>-8.1799999999999998E-2</v>
      </c>
    </row>
    <row r="131" spans="3:7">
      <c r="C131" t="s">
        <v>201</v>
      </c>
      <c r="D131" s="6">
        <v>-1.7100000000000001E-2</v>
      </c>
      <c r="E131" s="6">
        <v>-5.1999999999999998E-3</v>
      </c>
      <c r="F131" s="6">
        <v>5.1000000000000004E-3</v>
      </c>
      <c r="G131" s="6">
        <v>1.8499999999999999E-2</v>
      </c>
    </row>
    <row r="132" spans="3:7">
      <c r="C132" t="s">
        <v>482</v>
      </c>
      <c r="D132" s="6">
        <v>0.27300000000000002</v>
      </c>
      <c r="E132" s="6">
        <v>7.8100000000000003E-2</v>
      </c>
      <c r="F132" s="6">
        <v>3.7600000000000001E-2</v>
      </c>
      <c r="G132" s="6">
        <v>3.5299999999999998E-2</v>
      </c>
    </row>
    <row r="133" spans="3:7">
      <c r="C133" t="s">
        <v>419</v>
      </c>
      <c r="D133" s="6">
        <v>8.0399999999999999E-2</v>
      </c>
      <c r="E133" s="6">
        <v>7.1300000000000002E-2</v>
      </c>
      <c r="F133" s="6">
        <v>8.2900000000000001E-2</v>
      </c>
      <c r="G133" s="6">
        <v>6.8199999999999997E-2</v>
      </c>
    </row>
    <row r="134" spans="3:7">
      <c r="C134" t="s">
        <v>13</v>
      </c>
      <c r="D134" s="6">
        <v>3.4599999999999999E-2</v>
      </c>
      <c r="E134" s="6">
        <v>4.1700000000000001E-2</v>
      </c>
      <c r="F134" s="6">
        <v>7.8899999999999998E-2</v>
      </c>
      <c r="G134" s="6">
        <v>2.63E-2</v>
      </c>
    </row>
    <row r="135" spans="3:7">
      <c r="C135" t="s">
        <v>303</v>
      </c>
      <c r="D135" s="6">
        <v>2.9499999999999998E-2</v>
      </c>
      <c r="E135" s="6">
        <v>-3.15E-2</v>
      </c>
      <c r="F135" s="6">
        <v>1.7399999999999999E-2</v>
      </c>
      <c r="G135" s="6">
        <v>1.26E-2</v>
      </c>
    </row>
    <row r="136" spans="3:7">
      <c r="C136" t="s">
        <v>335</v>
      </c>
      <c r="D136" s="6">
        <v>9.1300000000000006E-2</v>
      </c>
      <c r="E136" s="6">
        <v>8.43E-2</v>
      </c>
      <c r="F136" s="6">
        <v>5.5800000000000002E-2</v>
      </c>
      <c r="G136" s="6">
        <v>5.16E-2</v>
      </c>
    </row>
    <row r="137" spans="3:7">
      <c r="C137" t="s">
        <v>305</v>
      </c>
      <c r="D137" s="6">
        <v>-5.4899999999999997E-2</v>
      </c>
      <c r="E137" s="6">
        <v>-0.112</v>
      </c>
      <c r="F137" s="6">
        <v>-0.12529999999999999</v>
      </c>
      <c r="G137" s="6">
        <v>-8.0699999999999994E-2</v>
      </c>
    </row>
    <row r="138" spans="3:7">
      <c r="C138" t="s">
        <v>24</v>
      </c>
      <c r="D138" s="6">
        <v>1.9E-3</v>
      </c>
      <c r="E138" s="6">
        <v>-8.0000000000000002E-3</v>
      </c>
      <c r="F138" s="6">
        <v>-4.3E-3</v>
      </c>
      <c r="G138" s="6">
        <v>-4.4000000000000003E-3</v>
      </c>
    </row>
    <row r="139" spans="3:7">
      <c r="C139" t="s">
        <v>421</v>
      </c>
      <c r="D139" s="6">
        <v>5.8900000000000001E-2</v>
      </c>
      <c r="E139" s="6">
        <v>-3.0700000000000002E-2</v>
      </c>
      <c r="F139" s="6">
        <v>2.29E-2</v>
      </c>
      <c r="G139" s="6">
        <v>-4.5400000000000003E-2</v>
      </c>
    </row>
    <row r="140" spans="3:7">
      <c r="C140" t="s">
        <v>16</v>
      </c>
      <c r="D140" s="6">
        <v>-0.111</v>
      </c>
      <c r="E140" s="6">
        <v>-0.3548</v>
      </c>
      <c r="F140" s="6">
        <v>-0.26240000000000002</v>
      </c>
      <c r="G140" s="6">
        <v>-0.26240000000000002</v>
      </c>
    </row>
    <row r="141" spans="3:7">
      <c r="C141" t="s">
        <v>142</v>
      </c>
      <c r="D141" s="6">
        <v>-6.7799999999999999E-2</v>
      </c>
      <c r="E141" s="6">
        <v>-0.2152</v>
      </c>
      <c r="F141" s="6">
        <v>-0.5101</v>
      </c>
      <c r="G141" s="6">
        <v>-0.31519999999999998</v>
      </c>
    </row>
    <row r="142" spans="3:7">
      <c r="C142" t="s">
        <v>202</v>
      </c>
      <c r="D142" s="6">
        <v>9.9900000000000003E-2</v>
      </c>
      <c r="E142" s="6">
        <v>6.6400000000000001E-2</v>
      </c>
      <c r="F142" s="6">
        <v>0.13819999999999999</v>
      </c>
      <c r="G142" s="6">
        <v>8.9200000000000002E-2</v>
      </c>
    </row>
    <row r="143" spans="3:7">
      <c r="C143" t="s">
        <v>279</v>
      </c>
      <c r="D143" s="6">
        <v>7.0599999999999996E-2</v>
      </c>
      <c r="E143" s="6">
        <v>6.2700000000000006E-2</v>
      </c>
      <c r="F143" s="6">
        <v>7.3899999999999993E-2</v>
      </c>
      <c r="G143" s="6">
        <v>7.5600000000000001E-2</v>
      </c>
    </row>
    <row r="144" spans="3:7">
      <c r="C144" t="s">
        <v>835</v>
      </c>
      <c r="D144" s="6">
        <v>-0.06</v>
      </c>
      <c r="E144" s="6">
        <v>-8.8499999999999995E-2</v>
      </c>
      <c r="F144" s="6">
        <v>-0.3659</v>
      </c>
      <c r="G144" s="6">
        <v>-3.61E-2</v>
      </c>
    </row>
    <row r="145" spans="3:7">
      <c r="C145" t="s">
        <v>143</v>
      </c>
      <c r="D145" s="6">
        <v>6.4799999999999996E-2</v>
      </c>
      <c r="E145" s="6">
        <v>-0.93149999999999999</v>
      </c>
      <c r="F145" s="6">
        <v>-6.5000000000000002E-2</v>
      </c>
      <c r="G145" s="6">
        <v>0.61560000000000004</v>
      </c>
    </row>
    <row r="146" spans="3:7">
      <c r="C146" t="s">
        <v>423</v>
      </c>
      <c r="D146" s="6">
        <v>7.1099999999999997E-2</v>
      </c>
      <c r="E146" s="6">
        <v>5.3499999999999999E-2</v>
      </c>
      <c r="F146" s="6">
        <v>3.2099999999999997E-2</v>
      </c>
      <c r="G146" s="6">
        <v>2.6100000000000002E-2</v>
      </c>
    </row>
    <row r="147" spans="3:7">
      <c r="C147" t="s">
        <v>832</v>
      </c>
      <c r="D147" s="6">
        <v>-2.2800000000000001E-2</v>
      </c>
      <c r="E147" s="6">
        <v>-0.2621</v>
      </c>
      <c r="F147" s="6">
        <v>-5.0700000000000002E-2</v>
      </c>
      <c r="G147" s="6">
        <v>6.3E-3</v>
      </c>
    </row>
    <row r="148" spans="3:7">
      <c r="C148" t="s">
        <v>229</v>
      </c>
      <c r="D148" s="6">
        <v>0.37</v>
      </c>
      <c r="E148" s="6">
        <v>1.12E-2</v>
      </c>
      <c r="F148" s="6">
        <v>6.7999999999999996E-3</v>
      </c>
      <c r="G148" s="6">
        <v>3.0000000000000001E-3</v>
      </c>
    </row>
    <row r="149" spans="3:7">
      <c r="C149" t="s">
        <v>167</v>
      </c>
      <c r="D149" s="6">
        <v>1.8200000000000001E-2</v>
      </c>
      <c r="E149" s="6">
        <v>1.6299999999999999E-2</v>
      </c>
      <c r="F149" s="6">
        <v>3.3999999999999998E-3</v>
      </c>
      <c r="G149" s="6">
        <v>1.8E-3</v>
      </c>
    </row>
    <row r="150" spans="3:7">
      <c r="C150" t="s">
        <v>76</v>
      </c>
      <c r="D150" s="6">
        <v>3.4599999999999999E-2</v>
      </c>
      <c r="E150" s="6">
        <v>2.3999999999999998E-3</v>
      </c>
      <c r="F150" s="6">
        <v>-3.8999999999999998E-3</v>
      </c>
      <c r="G150" s="6">
        <v>1.4E-2</v>
      </c>
    </row>
    <row r="151" spans="3:7">
      <c r="C151" t="s">
        <v>393</v>
      </c>
      <c r="D151" s="6">
        <v>-9.0200000000000002E-2</v>
      </c>
      <c r="E151" s="6">
        <v>5.9999999999999995E-4</v>
      </c>
      <c r="F151" s="6">
        <v>3.95E-2</v>
      </c>
      <c r="G151" s="6">
        <v>-7.0900000000000005E-2</v>
      </c>
    </row>
    <row r="152" spans="3:7">
      <c r="C152" t="s">
        <v>79</v>
      </c>
      <c r="D152" s="6">
        <v>2.3E-3</v>
      </c>
      <c r="E152" s="6">
        <v>-5.7700000000000001E-2</v>
      </c>
      <c r="F152" s="6">
        <v>-5.8400000000000001E-2</v>
      </c>
      <c r="G152" s="6">
        <v>1.6000000000000001E-3</v>
      </c>
    </row>
    <row r="153" spans="3:7">
      <c r="C153" t="s">
        <v>484</v>
      </c>
      <c r="D153" s="6">
        <v>0.15279999999999999</v>
      </c>
      <c r="E153" s="6">
        <v>0.1038</v>
      </c>
      <c r="F153" s="6">
        <v>1.78E-2</v>
      </c>
      <c r="G153" s="6">
        <v>-4.3E-3</v>
      </c>
    </row>
    <row r="154" spans="3:7">
      <c r="C154" t="s">
        <v>120</v>
      </c>
      <c r="D154" s="6">
        <v>0.1021</v>
      </c>
      <c r="E154" s="6">
        <v>7.7499999999999999E-2</v>
      </c>
      <c r="F154" s="6">
        <v>6.0100000000000001E-2</v>
      </c>
      <c r="G154" s="6">
        <v>3.8699999999999998E-2</v>
      </c>
    </row>
    <row r="155" spans="3:7">
      <c r="C155" t="s">
        <v>363</v>
      </c>
      <c r="D155" s="6">
        <v>4.8300000000000003E-2</v>
      </c>
      <c r="E155" s="6">
        <v>0.1012</v>
      </c>
      <c r="F155" s="6">
        <v>0.1041</v>
      </c>
      <c r="G155" s="6">
        <v>8.9899999999999994E-2</v>
      </c>
    </row>
    <row r="156" spans="3:7">
      <c r="C156" t="s">
        <v>254</v>
      </c>
      <c r="D156" s="6">
        <v>5.4399999999999997E-2</v>
      </c>
      <c r="E156" s="6">
        <v>3.2000000000000001E-2</v>
      </c>
      <c r="F156" s="6">
        <v>2.41E-2</v>
      </c>
      <c r="G156" s="6">
        <v>2.6499999999999999E-2</v>
      </c>
    </row>
    <row r="157" spans="3:7">
      <c r="C157" t="s">
        <v>497</v>
      </c>
      <c r="D157" s="6">
        <v>2.8899999999999999E-2</v>
      </c>
      <c r="E157" s="6">
        <v>9.9099999999999994E-2</v>
      </c>
      <c r="F157" s="6">
        <v>0.10879999999999999</v>
      </c>
      <c r="G157" s="6">
        <v>0.1036</v>
      </c>
    </row>
    <row r="158" spans="3:7">
      <c r="C158" t="s">
        <v>811</v>
      </c>
      <c r="D158" s="6">
        <v>8.0000000000000002E-3</v>
      </c>
      <c r="E158" s="6">
        <v>1.89E-2</v>
      </c>
      <c r="F158" s="6">
        <v>2.92E-2</v>
      </c>
      <c r="G158" s="6">
        <v>4.7500000000000001E-2</v>
      </c>
    </row>
    <row r="159" spans="3:7">
      <c r="C159" t="s">
        <v>383</v>
      </c>
      <c r="D159" s="6">
        <v>-1.1900999999999999</v>
      </c>
      <c r="E159" s="6">
        <v>-0.2167</v>
      </c>
      <c r="F159" s="6">
        <v>-0.4365</v>
      </c>
      <c r="G159" s="6">
        <v>-1.7478</v>
      </c>
    </row>
    <row r="160" spans="3:7">
      <c r="C160" t="s">
        <v>114</v>
      </c>
      <c r="D160" s="6">
        <v>-2.4400000000000002E-2</v>
      </c>
      <c r="E160" s="6">
        <v>4.5600000000000002E-2</v>
      </c>
      <c r="F160" s="6">
        <v>9.4200000000000006E-2</v>
      </c>
      <c r="G160" s="6">
        <v>7.7000000000000002E-3</v>
      </c>
    </row>
    <row r="161" spans="3:7">
      <c r="C161" t="s">
        <v>387</v>
      </c>
      <c r="D161" s="6">
        <v>9.2200000000000004E-2</v>
      </c>
      <c r="E161" s="6">
        <v>0.2432</v>
      </c>
      <c r="F161" s="6">
        <v>0.153</v>
      </c>
      <c r="G161" s="6">
        <v>8.8300000000000003E-2</v>
      </c>
    </row>
    <row r="162" spans="3:7">
      <c r="C162" t="s">
        <v>138</v>
      </c>
      <c r="D162" s="6">
        <v>4.0000000000000002E-4</v>
      </c>
      <c r="E162" s="6">
        <v>-1.09E-2</v>
      </c>
      <c r="F162" s="6">
        <v>-3.9800000000000002E-2</v>
      </c>
      <c r="G162" s="6">
        <v>-3.9800000000000002E-2</v>
      </c>
    </row>
    <row r="163" spans="3:7">
      <c r="C163" t="s">
        <v>413</v>
      </c>
      <c r="D163" s="6">
        <v>1.43E-2</v>
      </c>
      <c r="E163" s="6">
        <v>-7.6E-3</v>
      </c>
      <c r="F163" s="6">
        <v>4.0000000000000001E-3</v>
      </c>
      <c r="G163" s="6">
        <v>-9.7000000000000003E-3</v>
      </c>
    </row>
    <row r="164" spans="3:7">
      <c r="C164" t="s">
        <v>399</v>
      </c>
      <c r="D164" s="6">
        <v>6.9400000000000003E-2</v>
      </c>
      <c r="E164" s="6">
        <v>5.5199999999999999E-2</v>
      </c>
      <c r="F164" s="6">
        <v>4.9200000000000001E-2</v>
      </c>
      <c r="G164" s="6">
        <v>-5.9400000000000001E-2</v>
      </c>
    </row>
    <row r="165" spans="3:7">
      <c r="C165" t="s">
        <v>64</v>
      </c>
      <c r="D165" s="6">
        <v>-0.3609</v>
      </c>
      <c r="E165" s="6">
        <v>-4.9700000000000001E-2</v>
      </c>
      <c r="F165" s="6">
        <v>-0.1081</v>
      </c>
      <c r="G165" s="6">
        <v>-0.2384</v>
      </c>
    </row>
    <row r="166" spans="3:7">
      <c r="C166" t="s">
        <v>301</v>
      </c>
      <c r="D166" s="6">
        <v>-1.4800000000000001E-2</v>
      </c>
      <c r="E166" s="6">
        <v>8.2000000000000007E-3</v>
      </c>
      <c r="F166" s="6">
        <v>2.01E-2</v>
      </c>
      <c r="G166" s="6">
        <v>4.53E-2</v>
      </c>
    </row>
    <row r="167" spans="3:7">
      <c r="C167" t="s">
        <v>173</v>
      </c>
      <c r="D167" s="6">
        <v>3.0200000000000001E-2</v>
      </c>
      <c r="E167" s="6">
        <v>2.69E-2</v>
      </c>
      <c r="F167" s="6">
        <v>2.8899999999999999E-2</v>
      </c>
      <c r="G167" s="6">
        <v>1.6899999999999998E-2</v>
      </c>
    </row>
    <row r="168" spans="3:7">
      <c r="C168" t="s">
        <v>130</v>
      </c>
      <c r="D168" s="6">
        <v>0.1056</v>
      </c>
      <c r="E168" s="6">
        <v>0.1196</v>
      </c>
      <c r="F168" s="6">
        <v>0.1147</v>
      </c>
      <c r="G168" s="6">
        <v>0.14729999999999999</v>
      </c>
    </row>
    <row r="169" spans="3:7">
      <c r="C169" t="s">
        <v>351</v>
      </c>
      <c r="D169" s="6">
        <v>2.9600000000000001E-2</v>
      </c>
      <c r="E169" s="6">
        <v>3.3099999999999997E-2</v>
      </c>
      <c r="F169" s="6">
        <v>1.6799999999999999E-2</v>
      </c>
      <c r="G169" s="6">
        <v>9.7999999999999997E-3</v>
      </c>
    </row>
    <row r="170" spans="3:7">
      <c r="C170" t="s">
        <v>176</v>
      </c>
      <c r="D170" s="6">
        <v>2.5999999999999999E-2</v>
      </c>
      <c r="E170" s="6">
        <v>-4.1000000000000003E-3</v>
      </c>
      <c r="F170" s="6">
        <v>-6.4399999999999999E-2</v>
      </c>
      <c r="G170" s="6">
        <v>1.72E-2</v>
      </c>
    </row>
    <row r="171" spans="3:7">
      <c r="C171" t="s">
        <v>1</v>
      </c>
      <c r="D171" s="6">
        <v>8.5000000000000006E-3</v>
      </c>
      <c r="E171" s="6">
        <v>-1.3299999999999999E-2</v>
      </c>
      <c r="F171" s="6">
        <v>8.9999999999999993E-3</v>
      </c>
      <c r="G171" s="6">
        <v>8.9999999999999993E-3</v>
      </c>
    </row>
    <row r="172" spans="3:7">
      <c r="C172" t="s">
        <v>473</v>
      </c>
      <c r="D172" s="6">
        <v>0.17249999999999999</v>
      </c>
      <c r="E172" s="6">
        <v>8.8599999999999998E-2</v>
      </c>
      <c r="F172" s="6">
        <v>8.3500000000000005E-2</v>
      </c>
      <c r="G172" s="6">
        <v>7.8E-2</v>
      </c>
    </row>
    <row r="173" spans="3:7">
      <c r="C173" t="s">
        <v>122</v>
      </c>
      <c r="D173" s="6">
        <v>3.3599999999999998E-2</v>
      </c>
      <c r="E173" s="6">
        <v>0.1038</v>
      </c>
      <c r="F173" s="6">
        <v>6.8599999999999994E-2</v>
      </c>
      <c r="G173" s="6">
        <v>4.0399999999999998E-2</v>
      </c>
    </row>
    <row r="174" spans="3:7">
      <c r="C174" t="s">
        <v>320</v>
      </c>
      <c r="D174" s="6">
        <v>1.5800000000000002E-2</v>
      </c>
      <c r="E174" s="6">
        <v>-2.58E-2</v>
      </c>
      <c r="F174" s="6">
        <v>-0.18340000000000001</v>
      </c>
      <c r="G174" s="6">
        <v>-4.5999999999999999E-3</v>
      </c>
    </row>
    <row r="175" spans="3:7">
      <c r="C175" t="s">
        <v>255</v>
      </c>
      <c r="D175" s="6">
        <v>6.9400000000000003E-2</v>
      </c>
      <c r="E175" s="6">
        <v>8.6300000000000002E-2</v>
      </c>
      <c r="F175" s="6">
        <v>0.11940000000000001</v>
      </c>
      <c r="G175" s="6">
        <v>0.1255</v>
      </c>
    </row>
    <row r="176" spans="3:7">
      <c r="C176" t="s">
        <v>365</v>
      </c>
      <c r="D176" s="6">
        <v>4.2099999999999999E-2</v>
      </c>
      <c r="E176" s="6">
        <v>3.6999999999999998E-2</v>
      </c>
      <c r="F176" s="6">
        <v>5.1799999999999999E-2</v>
      </c>
      <c r="G176" s="6">
        <v>5.0799999999999998E-2</v>
      </c>
    </row>
    <row r="177" spans="3:7">
      <c r="C177" t="s">
        <v>37</v>
      </c>
      <c r="D177" s="6">
        <v>0.317</v>
      </c>
      <c r="E177" s="6">
        <v>0.2959</v>
      </c>
      <c r="F177" s="6">
        <v>0.30170000000000002</v>
      </c>
      <c r="G177" s="6">
        <v>0.28149999999999997</v>
      </c>
    </row>
    <row r="178" spans="3:7">
      <c r="C178" t="s">
        <v>389</v>
      </c>
      <c r="D178" s="6">
        <v>1E-3</v>
      </c>
      <c r="E178" s="6">
        <v>5.0000000000000001E-4</v>
      </c>
      <c r="F178" s="6">
        <v>-9.2899999999999996E-2</v>
      </c>
      <c r="G178" s="6">
        <v>-3.4099999999999998E-2</v>
      </c>
    </row>
    <row r="179" spans="3:7">
      <c r="C179" t="s">
        <v>271</v>
      </c>
      <c r="D179" s="6">
        <v>4.0000000000000002E-4</v>
      </c>
      <c r="E179" s="6">
        <v>8.0000000000000004E-4</v>
      </c>
      <c r="F179" s="6">
        <v>1.1000000000000001E-3</v>
      </c>
      <c r="G179" s="6">
        <v>-8.5000000000000006E-3</v>
      </c>
    </row>
    <row r="180" spans="3:7">
      <c r="C180" t="s">
        <v>234</v>
      </c>
      <c r="D180" s="6">
        <v>1.7000000000000001E-2</v>
      </c>
      <c r="E180" s="6">
        <v>4.1099999999999998E-2</v>
      </c>
      <c r="F180" s="6">
        <v>6.4600000000000005E-2</v>
      </c>
      <c r="G180" s="6">
        <v>5.3800000000000001E-2</v>
      </c>
    </row>
    <row r="181" spans="3:7">
      <c r="C181" t="s">
        <v>272</v>
      </c>
      <c r="D181" s="6">
        <v>9.9000000000000005E-2</v>
      </c>
      <c r="E181" s="6">
        <v>9.7000000000000003E-2</v>
      </c>
      <c r="F181" s="6">
        <v>2.8899999999999999E-2</v>
      </c>
      <c r="G181" s="6">
        <v>-2.4400000000000002E-2</v>
      </c>
    </row>
    <row r="182" spans="3:7">
      <c r="C182" t="s">
        <v>159</v>
      </c>
      <c r="D182" s="6">
        <v>5.1900000000000002E-2</v>
      </c>
      <c r="E182" s="6">
        <v>3.8199999999999998E-2</v>
      </c>
      <c r="F182" s="6">
        <v>3.7100000000000001E-2</v>
      </c>
      <c r="G182" s="6">
        <v>4.2599999999999999E-2</v>
      </c>
    </row>
    <row r="183" spans="3:7">
      <c r="C183" t="s">
        <v>34</v>
      </c>
      <c r="D183" s="6">
        <v>2.9100000000000001E-2</v>
      </c>
      <c r="E183" s="6">
        <v>5.6899999999999999E-2</v>
      </c>
      <c r="F183" s="6">
        <v>7.1800000000000003E-2</v>
      </c>
      <c r="G183" s="6">
        <v>3.1800000000000002E-2</v>
      </c>
    </row>
    <row r="184" spans="3:7">
      <c r="C184" t="s">
        <v>214</v>
      </c>
      <c r="D184" s="6">
        <v>2.6599999999999999E-2</v>
      </c>
      <c r="E184" s="6">
        <v>3.0300000000000001E-2</v>
      </c>
      <c r="F184" s="6">
        <v>3.1E-2</v>
      </c>
      <c r="G184" s="6">
        <v>2.5700000000000001E-2</v>
      </c>
    </row>
    <row r="185" spans="3:7">
      <c r="C185" t="s">
        <v>5</v>
      </c>
      <c r="D185" s="6">
        <v>-3.4000000000000002E-2</v>
      </c>
      <c r="E185" s="6">
        <v>0.1229</v>
      </c>
      <c r="F185" s="6">
        <v>2.1899999999999999E-2</v>
      </c>
      <c r="G185" s="6">
        <v>-5.0000000000000001E-3</v>
      </c>
    </row>
    <row r="186" spans="3:7">
      <c r="C186" t="s">
        <v>506</v>
      </c>
      <c r="D186" s="6">
        <v>1.3599999999999999E-2</v>
      </c>
      <c r="E186" s="6">
        <v>7.4000000000000003E-3</v>
      </c>
      <c r="F186" s="6">
        <v>8.0000000000000002E-3</v>
      </c>
      <c r="G186" s="6">
        <v>-8.3999999999999995E-3</v>
      </c>
    </row>
    <row r="187" spans="3:7">
      <c r="C187" t="s">
        <v>322</v>
      </c>
      <c r="D187" s="6">
        <v>6.5500000000000003E-2</v>
      </c>
      <c r="E187" s="6">
        <v>7.4300000000000005E-2</v>
      </c>
      <c r="F187" s="6">
        <v>5.6500000000000002E-2</v>
      </c>
      <c r="G187" s="6">
        <v>4.6899999999999997E-2</v>
      </c>
    </row>
    <row r="188" spans="3:7">
      <c r="C188" t="s">
        <v>388</v>
      </c>
      <c r="D188" s="6">
        <v>-0.14219999999999999</v>
      </c>
      <c r="E188" s="6">
        <v>-5.0099999999999999E-2</v>
      </c>
      <c r="F188" s="6">
        <v>3.0999999999999999E-3</v>
      </c>
      <c r="G188" s="6">
        <v>5.8999999999999999E-3</v>
      </c>
    </row>
    <row r="189" spans="3:7">
      <c r="C189" t="s">
        <v>115</v>
      </c>
      <c r="D189" s="6">
        <v>0.1095</v>
      </c>
      <c r="E189" s="6">
        <v>0.19670000000000001</v>
      </c>
      <c r="F189" s="6">
        <v>0.187</v>
      </c>
      <c r="G189" s="6">
        <v>9.7600000000000006E-2</v>
      </c>
    </row>
    <row r="190" spans="3:7">
      <c r="C190" t="s">
        <v>161</v>
      </c>
      <c r="D190" s="6">
        <v>0.13389999999999999</v>
      </c>
      <c r="E190" s="6">
        <v>6.3E-2</v>
      </c>
      <c r="F190" s="6">
        <v>4.0500000000000001E-2</v>
      </c>
      <c r="G190" s="6">
        <v>6.6100000000000006E-2</v>
      </c>
    </row>
    <row r="191" spans="3:7">
      <c r="C191" t="s">
        <v>132</v>
      </c>
      <c r="D191" s="6">
        <v>-1.1900000000000001E-2</v>
      </c>
      <c r="E191" s="6">
        <v>-3.1800000000000002E-2</v>
      </c>
      <c r="F191" s="6">
        <v>-2.1999999999999999E-2</v>
      </c>
      <c r="G191" s="6">
        <v>5.5999999999999999E-3</v>
      </c>
    </row>
    <row r="192" spans="3:7">
      <c r="C192" t="s">
        <v>117</v>
      </c>
      <c r="D192" s="6">
        <v>0.1298</v>
      </c>
      <c r="E192" s="6">
        <v>0.1255</v>
      </c>
      <c r="F192" s="6">
        <v>0.13869999999999999</v>
      </c>
      <c r="G192" s="6">
        <v>0.13789999999999999</v>
      </c>
    </row>
    <row r="193" spans="3:7">
      <c r="C193" t="s">
        <v>84</v>
      </c>
      <c r="D193" s="6">
        <v>4.7600000000000003E-2</v>
      </c>
      <c r="E193" s="6">
        <v>4.87E-2</v>
      </c>
      <c r="F193" s="6">
        <v>4.5100000000000001E-2</v>
      </c>
      <c r="G193" s="6">
        <v>5.0900000000000001E-2</v>
      </c>
    </row>
    <row r="194" spans="3:7">
      <c r="C194" t="s">
        <v>288</v>
      </c>
      <c r="D194" s="6">
        <v>-1.15E-2</v>
      </c>
      <c r="E194" s="6">
        <v>-3.8E-3</v>
      </c>
      <c r="F194" s="6">
        <v>5.9999999999999995E-4</v>
      </c>
      <c r="G194" s="6">
        <v>4.0000000000000001E-3</v>
      </c>
    </row>
    <row r="195" spans="3:7">
      <c r="C195" t="s">
        <v>304</v>
      </c>
      <c r="D195" s="6">
        <v>8.2199999999999995E-2</v>
      </c>
      <c r="E195" s="6">
        <v>6.7299999999999999E-2</v>
      </c>
      <c r="F195" s="6">
        <v>1.5599999999999999E-2</v>
      </c>
      <c r="G195" s="6">
        <v>-4.4999999999999997E-3</v>
      </c>
    </row>
    <row r="196" spans="3:7">
      <c r="C196" t="s">
        <v>411</v>
      </c>
      <c r="D196" s="6">
        <v>8.0399999999999999E-2</v>
      </c>
      <c r="E196" s="6">
        <v>-1.5100000000000001E-2</v>
      </c>
      <c r="F196" s="6">
        <v>3.2099999999999997E-2</v>
      </c>
      <c r="G196" s="6">
        <v>-1.41E-2</v>
      </c>
    </row>
    <row r="197" spans="3:7">
      <c r="C197" t="s">
        <v>170</v>
      </c>
      <c r="D197" s="6">
        <v>-0.1085</v>
      </c>
      <c r="E197" s="6">
        <v>-7.8700000000000006E-2</v>
      </c>
      <c r="F197" s="6">
        <v>-9.9099999999999994E-2</v>
      </c>
      <c r="G197" s="6">
        <v>-7.6799999999999993E-2</v>
      </c>
    </row>
    <row r="198" spans="3:7">
      <c r="C198" t="s">
        <v>225</v>
      </c>
      <c r="D198" s="6">
        <v>3.3799999999999997E-2</v>
      </c>
      <c r="E198" s="6">
        <v>1.7100000000000001E-2</v>
      </c>
      <c r="F198" s="6">
        <v>1.12E-2</v>
      </c>
      <c r="G198" s="6">
        <v>0.2712</v>
      </c>
    </row>
    <row r="199" spans="3:7">
      <c r="C199" t="s">
        <v>195</v>
      </c>
      <c r="D199" s="6">
        <v>2.1399999999999999E-2</v>
      </c>
      <c r="E199" s="6">
        <v>7.4000000000000003E-3</v>
      </c>
      <c r="F199" s="6">
        <v>1.67E-2</v>
      </c>
      <c r="G199" s="6">
        <v>1.4800000000000001E-2</v>
      </c>
    </row>
    <row r="200" spans="3:7">
      <c r="C200" t="s">
        <v>319</v>
      </c>
      <c r="D200" s="6">
        <v>1.6000000000000001E-3</v>
      </c>
      <c r="E200" s="6">
        <v>1.9E-3</v>
      </c>
      <c r="F200" s="6">
        <v>7.6399999999999996E-2</v>
      </c>
      <c r="G200" s="6">
        <v>4.8800000000000003E-2</v>
      </c>
    </row>
    <row r="201" spans="3:7">
      <c r="C201" t="s">
        <v>813</v>
      </c>
      <c r="D201" s="6">
        <v>2.0799999999999999E-2</v>
      </c>
      <c r="E201" s="6">
        <v>2.24E-2</v>
      </c>
      <c r="F201" s="6">
        <v>-4.6300000000000001E-2</v>
      </c>
      <c r="G201" s="6">
        <v>2.7099999999999999E-2</v>
      </c>
    </row>
    <row r="202" spans="3:7">
      <c r="C202" t="s">
        <v>148</v>
      </c>
      <c r="D202" s="6">
        <v>1.9800000000000002E-2</v>
      </c>
      <c r="E202" s="6">
        <v>4.6399999999999997E-2</v>
      </c>
      <c r="F202" s="6">
        <v>4.5199999999999997E-2</v>
      </c>
      <c r="G202" s="6">
        <v>3.7900000000000003E-2</v>
      </c>
    </row>
    <row r="203" spans="3:7">
      <c r="C203" t="s">
        <v>124</v>
      </c>
      <c r="D203" s="6">
        <v>2.6700000000000002E-2</v>
      </c>
      <c r="E203" s="6">
        <v>2.75E-2</v>
      </c>
      <c r="F203" s="6">
        <v>2.7400000000000001E-2</v>
      </c>
      <c r="G203" s="6">
        <v>-9.9000000000000008E-3</v>
      </c>
    </row>
    <row r="204" spans="3:7">
      <c r="C204" t="s">
        <v>88</v>
      </c>
      <c r="D204" s="6">
        <v>0.16619999999999999</v>
      </c>
      <c r="E204" s="6">
        <v>0.17369999999999999</v>
      </c>
      <c r="F204" s="6">
        <v>0.2044</v>
      </c>
      <c r="G204" s="6">
        <v>0.23519999999999999</v>
      </c>
    </row>
    <row r="205" spans="3:7">
      <c r="C205" t="s">
        <v>297</v>
      </c>
      <c r="D205" s="6">
        <v>4.5499999999999999E-2</v>
      </c>
      <c r="E205" s="6">
        <v>5.7799999999999997E-2</v>
      </c>
      <c r="F205" s="6">
        <v>4.8000000000000001E-2</v>
      </c>
      <c r="G205" s="6">
        <v>3.4700000000000002E-2</v>
      </c>
    </row>
    <row r="206" spans="3:7">
      <c r="C206" t="s">
        <v>475</v>
      </c>
      <c r="D206" s="6">
        <v>5.5199999999999999E-2</v>
      </c>
      <c r="E206" s="6">
        <v>5.0099999999999999E-2</v>
      </c>
      <c r="F206" s="6">
        <v>5.67E-2</v>
      </c>
      <c r="G206" s="6">
        <v>4.2999999999999997E-2</v>
      </c>
    </row>
    <row r="207" spans="3:7">
      <c r="C207" t="s">
        <v>377</v>
      </c>
      <c r="D207" s="6">
        <v>2.5999999999999999E-2</v>
      </c>
      <c r="E207" s="6">
        <v>3.4799999999999998E-2</v>
      </c>
      <c r="F207" s="6">
        <v>3.39E-2</v>
      </c>
      <c r="G207" s="6">
        <v>1.46E-2</v>
      </c>
    </row>
    <row r="208" spans="3:7">
      <c r="C208" t="s">
        <v>818</v>
      </c>
      <c r="D208" s="6">
        <v>0.24540000000000001</v>
      </c>
      <c r="E208" s="6">
        <v>0.13550000000000001</v>
      </c>
      <c r="F208" s="6">
        <v>-2.6499999999999999E-2</v>
      </c>
      <c r="G208" s="6">
        <v>1.12E-2</v>
      </c>
    </row>
    <row r="209" spans="3:7">
      <c r="C209" t="s">
        <v>213</v>
      </c>
      <c r="D209" s="6">
        <v>-7.8700000000000006E-2</v>
      </c>
      <c r="E209" s="6">
        <v>-3.8300000000000001E-2</v>
      </c>
      <c r="F209" s="6">
        <v>-4.9200000000000001E-2</v>
      </c>
      <c r="G209" s="6">
        <v>0.25059999999999999</v>
      </c>
    </row>
    <row r="210" spans="3:7">
      <c r="C210" t="s">
        <v>290</v>
      </c>
      <c r="D210" s="6">
        <v>2.5999999999999999E-2</v>
      </c>
      <c r="E210" s="6">
        <v>4.4400000000000002E-2</v>
      </c>
      <c r="F210" s="6">
        <v>2.07E-2</v>
      </c>
      <c r="G210" s="6">
        <v>1.55E-2</v>
      </c>
    </row>
    <row r="211" spans="3:7">
      <c r="C211" t="s">
        <v>504</v>
      </c>
      <c r="D211" s="6">
        <v>-0.43940000000000001</v>
      </c>
      <c r="E211" s="6">
        <v>-0.2208</v>
      </c>
      <c r="F211" s="6">
        <v>9.2100000000000001E-2</v>
      </c>
      <c r="G211" s="6">
        <v>-5.0200000000000002E-2</v>
      </c>
    </row>
    <row r="212" spans="3:7">
      <c r="C212" t="s">
        <v>123</v>
      </c>
      <c r="D212" s="6">
        <v>2.7E-2</v>
      </c>
      <c r="E212" s="6">
        <v>2.3900000000000001E-2</v>
      </c>
      <c r="F212" s="6">
        <v>1.49E-2</v>
      </c>
      <c r="G212" s="6">
        <v>1.7299999999999999E-2</v>
      </c>
    </row>
    <row r="213" spans="3:7">
      <c r="C213" t="s">
        <v>50</v>
      </c>
      <c r="D213" s="6">
        <v>-3.5099999999999999E-2</v>
      </c>
      <c r="E213" s="6">
        <v>-4.3299999999999998E-2</v>
      </c>
      <c r="F213" s="6">
        <v>-6.9000000000000006E-2</v>
      </c>
      <c r="G213" s="6">
        <v>-9.7299999999999998E-2</v>
      </c>
    </row>
    <row r="214" spans="3:7">
      <c r="C214" t="s">
        <v>198</v>
      </c>
      <c r="D214" s="6">
        <v>6.4000000000000003E-3</v>
      </c>
      <c r="E214" s="6">
        <v>2.3699999999999999E-2</v>
      </c>
      <c r="F214" s="6">
        <v>5.1999999999999998E-2</v>
      </c>
      <c r="G214" s="6">
        <v>6.4799999999999996E-2</v>
      </c>
    </row>
    <row r="215" spans="3:7">
      <c r="C215" t="s">
        <v>70</v>
      </c>
      <c r="D215" s="6">
        <v>2.2800000000000001E-2</v>
      </c>
      <c r="E215" s="6">
        <v>1.6299999999999999E-2</v>
      </c>
      <c r="F215" s="6">
        <v>1.66E-2</v>
      </c>
      <c r="G215" s="6">
        <v>2.9999999999999997E-4</v>
      </c>
    </row>
    <row r="216" spans="3:7">
      <c r="C216" t="s">
        <v>112</v>
      </c>
      <c r="D216" s="6">
        <v>-6.6799999999999998E-2</v>
      </c>
      <c r="E216" s="6">
        <v>-6.2199999999999998E-2</v>
      </c>
      <c r="F216" s="6">
        <v>-8.8099999999999998E-2</v>
      </c>
      <c r="G216" s="6">
        <v>-8.1100000000000005E-2</v>
      </c>
    </row>
    <row r="217" spans="3:7">
      <c r="C217" t="s">
        <v>378</v>
      </c>
      <c r="D217" s="6">
        <v>3.0000000000000001E-3</v>
      </c>
      <c r="E217" s="6">
        <v>2.0999999999999999E-3</v>
      </c>
      <c r="F217" s="6">
        <v>2.2000000000000001E-3</v>
      </c>
      <c r="G217" s="6">
        <v>1.1999999999999999E-3</v>
      </c>
    </row>
    <row r="218" spans="3:7">
      <c r="C218" t="s">
        <v>231</v>
      </c>
      <c r="D218" s="6">
        <v>-1.0800000000000001E-2</v>
      </c>
      <c r="E218" s="6">
        <v>-1.49E-2</v>
      </c>
      <c r="F218" s="6">
        <v>-0.21940000000000001</v>
      </c>
      <c r="G218" s="6">
        <v>-7.4999999999999997E-3</v>
      </c>
    </row>
    <row r="219" spans="3:7">
      <c r="C219" t="s">
        <v>505</v>
      </c>
      <c r="D219" s="6">
        <v>3.2899999999999999E-2</v>
      </c>
      <c r="E219" s="6">
        <v>3.2899999999999999E-2</v>
      </c>
      <c r="F219" s="6">
        <v>6.5500000000000003E-2</v>
      </c>
      <c r="G219" s="6">
        <v>2.0799999999999999E-2</v>
      </c>
    </row>
    <row r="220" spans="3:7">
      <c r="C220" t="s">
        <v>83</v>
      </c>
      <c r="D220" s="6">
        <v>0.1134</v>
      </c>
      <c r="E220" s="6">
        <v>4.7600000000000003E-2</v>
      </c>
      <c r="F220" s="6">
        <v>0.1008</v>
      </c>
      <c r="G220" s="6">
        <v>7.0999999999999994E-2</v>
      </c>
    </row>
    <row r="221" spans="3:7">
      <c r="C221" t="s">
        <v>483</v>
      </c>
      <c r="D221" s="6">
        <v>0.21279999999999999</v>
      </c>
      <c r="E221" s="6">
        <v>0.1232</v>
      </c>
      <c r="F221" s="6">
        <v>5.79E-2</v>
      </c>
      <c r="G221" s="6">
        <v>7.3899999999999993E-2</v>
      </c>
    </row>
    <row r="222" spans="3:7">
      <c r="C222" t="s">
        <v>80</v>
      </c>
      <c r="D222" s="6">
        <v>4.19E-2</v>
      </c>
      <c r="E222" s="6">
        <v>3.32E-2</v>
      </c>
      <c r="F222" s="6">
        <v>2.7300000000000001E-2</v>
      </c>
      <c r="G222" s="6">
        <v>2.4199999999999999E-2</v>
      </c>
    </row>
    <row r="223" spans="3:7">
      <c r="C223" t="s">
        <v>825</v>
      </c>
      <c r="D223" s="6">
        <v>-2.6800000000000001E-2</v>
      </c>
      <c r="E223" s="6">
        <v>-7.9799999999999996E-2</v>
      </c>
      <c r="F223" s="6">
        <v>5.3800000000000001E-2</v>
      </c>
      <c r="G223" s="6">
        <v>1.3899999999999999E-2</v>
      </c>
    </row>
    <row r="224" spans="3:7">
      <c r="C224" t="s">
        <v>164</v>
      </c>
      <c r="D224" s="6">
        <v>8.0100000000000005E-2</v>
      </c>
      <c r="E224" s="6">
        <v>7.4999999999999997E-2</v>
      </c>
      <c r="F224" s="6">
        <v>0.10680000000000001</v>
      </c>
      <c r="G224" s="6">
        <v>0.15</v>
      </c>
    </row>
    <row r="225" spans="3:7">
      <c r="C225" t="s">
        <v>352</v>
      </c>
      <c r="D225" s="6">
        <v>0.222</v>
      </c>
      <c r="E225" s="6">
        <v>0.14799999999999999</v>
      </c>
      <c r="F225" s="6">
        <v>0.13950000000000001</v>
      </c>
      <c r="G225" s="6">
        <v>0.1163</v>
      </c>
    </row>
    <row r="226" spans="3:7">
      <c r="C226" t="s">
        <v>286</v>
      </c>
      <c r="D226" s="6">
        <v>8.3000000000000004E-2</v>
      </c>
      <c r="E226" s="6">
        <v>7.4899999999999994E-2</v>
      </c>
      <c r="F226" s="6">
        <v>5.91E-2</v>
      </c>
      <c r="G226" s="6">
        <v>4.0899999999999999E-2</v>
      </c>
    </row>
    <row r="227" spans="3:7">
      <c r="C227" t="s">
        <v>166</v>
      </c>
      <c r="D227" s="6">
        <v>0.1258</v>
      </c>
      <c r="E227" s="6">
        <v>0.1241</v>
      </c>
      <c r="F227" s="6">
        <v>0.1032</v>
      </c>
      <c r="G227" s="6">
        <v>9.3700000000000006E-2</v>
      </c>
    </row>
    <row r="228" spans="3:7">
      <c r="C228" t="s">
        <v>357</v>
      </c>
      <c r="D228" s="6">
        <v>2.92E-2</v>
      </c>
      <c r="E228" s="6">
        <v>9.4999999999999998E-3</v>
      </c>
      <c r="F228" s="6">
        <v>4.3799999999999999E-2</v>
      </c>
      <c r="G228" s="6">
        <v>5.7000000000000002E-3</v>
      </c>
    </row>
    <row r="229" spans="3:7">
      <c r="C229" t="s">
        <v>499</v>
      </c>
      <c r="D229" s="6">
        <v>2.93E-2</v>
      </c>
      <c r="E229" s="6">
        <v>4.8500000000000001E-2</v>
      </c>
      <c r="F229" s="6">
        <v>6.0199999999999997E-2</v>
      </c>
      <c r="G229" s="6">
        <v>9.6299999999999997E-2</v>
      </c>
    </row>
    <row r="230" spans="3:7">
      <c r="C230" t="s">
        <v>266</v>
      </c>
      <c r="D230" s="6">
        <v>8.9899999999999994E-2</v>
      </c>
      <c r="E230" s="6">
        <v>4.7399999999999998E-2</v>
      </c>
      <c r="F230" s="6">
        <v>4.3900000000000002E-2</v>
      </c>
      <c r="G230" s="6">
        <v>5.1400000000000001E-2</v>
      </c>
    </row>
    <row r="231" spans="3:7">
      <c r="C231" t="s">
        <v>156</v>
      </c>
      <c r="D231" s="6">
        <v>3.2800000000000003E-2</v>
      </c>
      <c r="E231" s="6">
        <v>4.7E-2</v>
      </c>
      <c r="F231" s="6">
        <v>3.2099999999999997E-2</v>
      </c>
      <c r="G231" s="6">
        <v>2.9899999999999999E-2</v>
      </c>
    </row>
    <row r="232" spans="3:7">
      <c r="C232" t="s">
        <v>82</v>
      </c>
      <c r="D232" s="6">
        <v>0.159</v>
      </c>
      <c r="E232" s="6">
        <v>0.151</v>
      </c>
      <c r="F232" s="6">
        <v>0.1414</v>
      </c>
      <c r="G232" s="6">
        <v>0.1305</v>
      </c>
    </row>
    <row r="233" spans="3:7">
      <c r="C233" t="s">
        <v>487</v>
      </c>
      <c r="D233" s="6">
        <v>-5.8900000000000001E-2</v>
      </c>
      <c r="E233" s="6">
        <v>7.1300000000000002E-2</v>
      </c>
      <c r="F233" s="6">
        <v>0.1085</v>
      </c>
      <c r="G233" s="6">
        <v>0.13009999999999999</v>
      </c>
    </row>
    <row r="234" spans="3:7">
      <c r="C234" t="s">
        <v>78</v>
      </c>
      <c r="D234" s="6">
        <v>2.7000000000000001E-3</v>
      </c>
      <c r="E234" s="6">
        <v>5.5E-2</v>
      </c>
      <c r="F234" s="6">
        <v>-5.7999999999999996E-3</v>
      </c>
      <c r="G234" s="6">
        <v>-2.07E-2</v>
      </c>
    </row>
    <row r="235" spans="3:7">
      <c r="C235" t="s">
        <v>203</v>
      </c>
      <c r="D235" s="6">
        <v>4.0599999999999997E-2</v>
      </c>
      <c r="E235" s="6">
        <v>5.5800000000000002E-2</v>
      </c>
      <c r="F235" s="6">
        <v>5.6399999999999999E-2</v>
      </c>
      <c r="G235" s="6">
        <v>4.8500000000000001E-2</v>
      </c>
    </row>
    <row r="236" spans="3:7">
      <c r="C236" t="s">
        <v>197</v>
      </c>
      <c r="D236" s="6">
        <v>-0.12180000000000001</v>
      </c>
      <c r="E236" s="6">
        <v>-4.4499999999999998E-2</v>
      </c>
      <c r="F236" s="6">
        <v>-4.2700000000000002E-2</v>
      </c>
      <c r="G236" s="6">
        <v>-0.32379999999999998</v>
      </c>
    </row>
    <row r="237" spans="3:7">
      <c r="C237" t="s">
        <v>87</v>
      </c>
      <c r="D237" s="6">
        <v>-7.5600000000000001E-2</v>
      </c>
      <c r="E237" s="6">
        <v>-0.1032</v>
      </c>
      <c r="F237" s="6">
        <v>-0.1119</v>
      </c>
      <c r="G237" s="6">
        <v>-0.1119</v>
      </c>
    </row>
    <row r="238" spans="3:7">
      <c r="C238" t="s">
        <v>73</v>
      </c>
      <c r="D238" s="6">
        <v>6.6500000000000004E-2</v>
      </c>
      <c r="E238" s="6">
        <v>6.0999999999999999E-2</v>
      </c>
      <c r="F238" s="6">
        <v>5.6399999999999999E-2</v>
      </c>
      <c r="G238" s="6">
        <v>-8.9999999999999998E-4</v>
      </c>
    </row>
    <row r="239" spans="3:7">
      <c r="C239" t="s">
        <v>165</v>
      </c>
      <c r="D239" s="6">
        <v>5.5599999999999997E-2</v>
      </c>
      <c r="E239" s="6">
        <v>3.39E-2</v>
      </c>
      <c r="F239" s="6">
        <v>4.3999999999999997E-2</v>
      </c>
      <c r="G239" s="6">
        <v>0.12559999999999999</v>
      </c>
    </row>
    <row r="240" spans="3:7">
      <c r="C240" t="s">
        <v>485</v>
      </c>
      <c r="D240" s="6">
        <v>-0.31240000000000001</v>
      </c>
      <c r="E240" s="6">
        <v>2.0400000000000001E-2</v>
      </c>
      <c r="F240" s="6">
        <v>6.1000000000000004E-3</v>
      </c>
      <c r="G240" s="6">
        <v>-2.0500000000000001E-2</v>
      </c>
    </row>
    <row r="241" spans="3:7">
      <c r="C241" t="s">
        <v>474</v>
      </c>
      <c r="D241" s="6">
        <v>6.1100000000000002E-2</v>
      </c>
      <c r="E241" s="6">
        <v>0.1149</v>
      </c>
      <c r="F241" s="6">
        <v>4.0000000000000002E-4</v>
      </c>
      <c r="G241" s="6">
        <v>4.3E-3</v>
      </c>
    </row>
    <row r="242" spans="3:7">
      <c r="C242" t="s">
        <v>15</v>
      </c>
      <c r="D242" s="6">
        <v>0.1953</v>
      </c>
      <c r="E242" s="6">
        <v>0.14799999999999999</v>
      </c>
      <c r="F242" s="6">
        <v>8.0100000000000005E-2</v>
      </c>
      <c r="G242" s="6">
        <v>0.1229</v>
      </c>
    </row>
    <row r="243" spans="3:7">
      <c r="C243" t="s">
        <v>44</v>
      </c>
      <c r="D243" s="6">
        <v>-6.3200000000000006E-2</v>
      </c>
      <c r="E243" s="6">
        <v>1.7600000000000001E-2</v>
      </c>
      <c r="F243" s="6">
        <v>2.9499999999999998E-2</v>
      </c>
      <c r="G243" s="6">
        <v>8.0000000000000004E-4</v>
      </c>
    </row>
    <row r="244" spans="3:7">
      <c r="C244" t="s">
        <v>313</v>
      </c>
      <c r="D244" s="6">
        <v>0</v>
      </c>
      <c r="E244" s="6">
        <v>-2.01E-2</v>
      </c>
      <c r="F244" s="6">
        <v>-1.2500000000000001E-2</v>
      </c>
      <c r="G244" s="6">
        <v>-2.47E-2</v>
      </c>
    </row>
    <row r="245" spans="3:7">
      <c r="C245" t="s">
        <v>85</v>
      </c>
      <c r="D245" s="6">
        <v>-4.4999999999999998E-2</v>
      </c>
      <c r="E245" s="6">
        <v>-2.0299999999999999E-2</v>
      </c>
      <c r="F245" s="6">
        <v>-4.3499999999999997E-2</v>
      </c>
      <c r="G245" s="6">
        <v>-0.1467</v>
      </c>
    </row>
    <row r="246" spans="3:7">
      <c r="C246" t="s">
        <v>310</v>
      </c>
      <c r="D246" s="6">
        <v>8.6E-3</v>
      </c>
      <c r="E246" s="6">
        <v>-3.7900000000000003E-2</v>
      </c>
      <c r="F246" s="6">
        <v>-5.7200000000000001E-2</v>
      </c>
      <c r="G246" s="6">
        <v>-5.4699999999999999E-2</v>
      </c>
    </row>
    <row r="247" spans="3:7">
      <c r="C247" t="s">
        <v>140</v>
      </c>
      <c r="D247" s="6">
        <v>1.09E-2</v>
      </c>
      <c r="E247" s="6">
        <v>2.6200000000000001E-2</v>
      </c>
      <c r="F247" s="6">
        <v>3.3099999999999997E-2</v>
      </c>
      <c r="G247" s="6">
        <v>2.9600000000000001E-2</v>
      </c>
    </row>
    <row r="248" spans="3:7">
      <c r="C248" t="s">
        <v>495</v>
      </c>
      <c r="D248" s="6">
        <v>3.04E-2</v>
      </c>
      <c r="E248" s="6">
        <v>8.1900000000000001E-2</v>
      </c>
      <c r="F248" s="6">
        <v>4.02E-2</v>
      </c>
      <c r="G248" s="6">
        <v>1.6E-2</v>
      </c>
    </row>
    <row r="249" spans="3:7">
      <c r="C249" t="s">
        <v>9</v>
      </c>
      <c r="D249" s="6">
        <v>1.9E-3</v>
      </c>
      <c r="E249" s="6">
        <v>2.5999999999999999E-3</v>
      </c>
      <c r="F249" s="6">
        <v>-5.8999999999999999E-3</v>
      </c>
      <c r="G249" s="6">
        <v>-8.9999999999999998E-4</v>
      </c>
    </row>
    <row r="250" spans="3:7">
      <c r="C250" t="s">
        <v>810</v>
      </c>
      <c r="D250" s="6">
        <v>0.17249999999999999</v>
      </c>
      <c r="E250" s="6">
        <v>0.1862</v>
      </c>
      <c r="F250" s="6">
        <v>0.1338</v>
      </c>
      <c r="G250" s="6">
        <v>0.1411</v>
      </c>
    </row>
    <row r="251" spans="3:7">
      <c r="C251" t="s">
        <v>309</v>
      </c>
      <c r="D251" s="6">
        <v>6.3899999999999998E-2</v>
      </c>
      <c r="E251" s="6">
        <v>1.3599999999999999E-2</v>
      </c>
      <c r="F251" s="6">
        <v>2.1299999999999999E-2</v>
      </c>
      <c r="G251" s="6">
        <v>1.2999999999999999E-3</v>
      </c>
    </row>
    <row r="252" spans="3:7">
      <c r="C252" t="s">
        <v>307</v>
      </c>
      <c r="D252" s="6">
        <v>4.2200000000000001E-2</v>
      </c>
      <c r="E252" s="6">
        <v>0.08</v>
      </c>
      <c r="F252" s="6">
        <v>1.7999999999999999E-2</v>
      </c>
      <c r="G252" s="6">
        <v>-0.1188</v>
      </c>
    </row>
    <row r="253" spans="3:7">
      <c r="C253" t="s">
        <v>105</v>
      </c>
      <c r="D253" s="6">
        <v>9.7000000000000003E-2</v>
      </c>
      <c r="E253" s="6">
        <v>4.0500000000000001E-2</v>
      </c>
      <c r="F253" s="6">
        <v>0.18090000000000001</v>
      </c>
      <c r="G253" s="6">
        <v>2.9000000000000001E-2</v>
      </c>
    </row>
    <row r="254" spans="3:7">
      <c r="C254" t="s">
        <v>4</v>
      </c>
      <c r="D254" s="6">
        <v>2.0299999999999999E-2</v>
      </c>
      <c r="E254" s="6">
        <v>1.2E-2</v>
      </c>
      <c r="F254" s="6">
        <v>1.3599999999999999E-2</v>
      </c>
      <c r="G254" s="6">
        <v>-3.8100000000000002E-2</v>
      </c>
    </row>
    <row r="255" spans="3:7">
      <c r="C255" t="s">
        <v>157</v>
      </c>
      <c r="D255" s="6">
        <v>-8.5699999999999998E-2</v>
      </c>
      <c r="E255" s="6">
        <v>-9.4899999999999998E-2</v>
      </c>
      <c r="F255" s="6">
        <v>-0.25240000000000001</v>
      </c>
      <c r="G255" s="6">
        <v>-5.5599999999999997E-2</v>
      </c>
    </row>
    <row r="256" spans="3:7">
      <c r="C256" t="s">
        <v>110</v>
      </c>
      <c r="D256" s="6">
        <v>9.9000000000000008E-3</v>
      </c>
      <c r="E256" s="6">
        <v>-8.8000000000000005E-3</v>
      </c>
      <c r="F256" s="6">
        <v>3.1600000000000003E-2</v>
      </c>
      <c r="G256" s="6">
        <v>-1.8200000000000001E-2</v>
      </c>
    </row>
    <row r="257" spans="3:7">
      <c r="C257" t="s">
        <v>488</v>
      </c>
      <c r="D257" s="6">
        <v>0.27550000000000002</v>
      </c>
      <c r="E257" s="6">
        <v>3.3599999999999998E-2</v>
      </c>
      <c r="F257" s="6">
        <v>0.21959999999999999</v>
      </c>
      <c r="G257" s="6">
        <v>8.2600000000000007E-2</v>
      </c>
    </row>
    <row r="258" spans="3:7">
      <c r="C258" t="s">
        <v>367</v>
      </c>
      <c r="D258" s="6">
        <v>-4.7000000000000002E-3</v>
      </c>
      <c r="E258" s="6">
        <v>-1.0999999999999999E-2</v>
      </c>
      <c r="F258" s="6">
        <v>-1.9599999999999999E-2</v>
      </c>
      <c r="G258" s="6">
        <v>1.77E-2</v>
      </c>
    </row>
    <row r="259" spans="3:7">
      <c r="C259" t="s">
        <v>822</v>
      </c>
      <c r="D259" s="6">
        <v>-9.2700000000000005E-2</v>
      </c>
      <c r="E259" s="6">
        <v>-6.1600000000000002E-2</v>
      </c>
      <c r="F259" s="6">
        <v>-4.1399999999999999E-2</v>
      </c>
      <c r="G259" s="6">
        <v>-6.9500000000000006E-2</v>
      </c>
    </row>
    <row r="260" spans="3:7">
      <c r="C260" t="s">
        <v>808</v>
      </c>
      <c r="D260" s="6">
        <v>0.2321</v>
      </c>
      <c r="E260" s="6">
        <v>0.11899999999999999</v>
      </c>
      <c r="F260" s="6">
        <v>0.1066</v>
      </c>
      <c r="G260" s="6">
        <v>9.69E-2</v>
      </c>
    </row>
    <row r="261" spans="3:7">
      <c r="C261" t="s">
        <v>356</v>
      </c>
      <c r="D261" s="6">
        <v>4.5600000000000002E-2</v>
      </c>
      <c r="E261" s="6">
        <v>1.2800000000000001E-2</v>
      </c>
      <c r="F261" s="6">
        <v>8.2699999999999996E-2</v>
      </c>
      <c r="G261" s="6">
        <v>1.0999999999999999E-2</v>
      </c>
    </row>
    <row r="262" spans="3:7">
      <c r="C262" t="s">
        <v>135</v>
      </c>
      <c r="D262" s="6">
        <v>5.4300000000000001E-2</v>
      </c>
      <c r="E262" s="6">
        <v>1.0999999999999999E-2</v>
      </c>
      <c r="F262" s="6">
        <v>6.83E-2</v>
      </c>
      <c r="G262" s="6">
        <v>3.39E-2</v>
      </c>
    </row>
    <row r="263" spans="3:7">
      <c r="C263" t="s">
        <v>420</v>
      </c>
      <c r="D263" s="6">
        <v>7.5999999999999998E-2</v>
      </c>
      <c r="E263" s="6">
        <v>7.8799999999999995E-2</v>
      </c>
      <c r="F263" s="6">
        <v>7.1999999999999995E-2</v>
      </c>
      <c r="G263" s="6">
        <v>5.8099999999999999E-2</v>
      </c>
    </row>
    <row r="264" spans="3:7">
      <c r="C264" t="s">
        <v>353</v>
      </c>
      <c r="D264" s="6">
        <v>9.7100000000000006E-2</v>
      </c>
      <c r="E264" s="6">
        <v>0.1087</v>
      </c>
      <c r="F264" s="6">
        <v>0.10970000000000001</v>
      </c>
      <c r="G264" s="6">
        <v>0.1772</v>
      </c>
    </row>
    <row r="265" spans="3:7">
      <c r="C265" t="s">
        <v>476</v>
      </c>
      <c r="D265" s="6">
        <v>0.1147</v>
      </c>
      <c r="E265" s="6">
        <v>7.3999999999999996E-2</v>
      </c>
      <c r="F265" s="6">
        <v>6.5699999999999995E-2</v>
      </c>
      <c r="G265" s="6">
        <v>8.6999999999999994E-2</v>
      </c>
    </row>
    <row r="266" spans="3:7">
      <c r="C266" t="s">
        <v>479</v>
      </c>
      <c r="D266" s="6">
        <v>-2.2499999999999999E-2</v>
      </c>
      <c r="E266" s="6">
        <v>-2.9700000000000001E-2</v>
      </c>
      <c r="F266" s="6">
        <v>-8.72E-2</v>
      </c>
      <c r="G266" s="6">
        <v>-0.1154</v>
      </c>
    </row>
    <row r="267" spans="3:7">
      <c r="C267" t="s">
        <v>480</v>
      </c>
      <c r="D267" s="6">
        <v>0.1245</v>
      </c>
      <c r="E267" s="6">
        <v>0.23619999999999999</v>
      </c>
      <c r="F267" s="6">
        <v>0.30020000000000002</v>
      </c>
      <c r="G267" s="6">
        <v>0.23180000000000001</v>
      </c>
    </row>
    <row r="268" spans="3:7">
      <c r="C268" t="s">
        <v>262</v>
      </c>
      <c r="D268" s="6">
        <v>1.2999999999999999E-2</v>
      </c>
      <c r="E268" s="6">
        <v>-3.3099999999999997E-2</v>
      </c>
      <c r="F268" s="6">
        <v>-0.1598</v>
      </c>
      <c r="G268" s="6">
        <v>-0.1081</v>
      </c>
    </row>
    <row r="269" spans="3:7">
      <c r="C269" t="s">
        <v>10</v>
      </c>
      <c r="D269" s="6">
        <v>2.35E-2</v>
      </c>
      <c r="E269" s="6">
        <v>2.4400000000000002E-2</v>
      </c>
      <c r="F269" s="6">
        <v>1.6000000000000001E-3</v>
      </c>
      <c r="G269" s="6">
        <v>-1.6000000000000001E-3</v>
      </c>
    </row>
    <row r="270" spans="3:7">
      <c r="C270" t="s">
        <v>75</v>
      </c>
      <c r="D270" s="6">
        <v>0.4617</v>
      </c>
      <c r="E270" s="6">
        <v>0.37080000000000002</v>
      </c>
      <c r="F270" s="6">
        <v>0.2097</v>
      </c>
      <c r="G270" s="6">
        <v>0.27700000000000002</v>
      </c>
    </row>
    <row r="271" spans="3:7">
      <c r="C271" t="s">
        <v>81</v>
      </c>
      <c r="D271" s="6">
        <v>6.0000000000000001E-3</v>
      </c>
      <c r="E271" s="6">
        <v>-0.20499999999999999</v>
      </c>
      <c r="F271" s="6">
        <v>-0.17549999999999999</v>
      </c>
      <c r="G271" s="6">
        <v>-0.12809999999999999</v>
      </c>
    </row>
    <row r="272" spans="3:7">
      <c r="C272" t="s">
        <v>74</v>
      </c>
      <c r="D272" s="6">
        <v>0.11169999999999999</v>
      </c>
      <c r="E272" s="6">
        <v>0.11459999999999999</v>
      </c>
      <c r="F272" s="6">
        <v>0.1056</v>
      </c>
      <c r="G272" s="6">
        <v>0.10920000000000001</v>
      </c>
    </row>
    <row r="273" spans="3:7">
      <c r="C273" t="s">
        <v>831</v>
      </c>
      <c r="D273" s="6">
        <v>0.25030000000000002</v>
      </c>
      <c r="E273" s="6">
        <v>0.38979999999999998</v>
      </c>
      <c r="F273" s="6">
        <v>0.13780000000000001</v>
      </c>
      <c r="G273" s="6">
        <v>4.3200000000000002E-2</v>
      </c>
    </row>
    <row r="274" spans="3:7">
      <c r="C274" t="s">
        <v>809</v>
      </c>
      <c r="D274" s="6">
        <v>9.5299999999999996E-2</v>
      </c>
      <c r="E274" s="6">
        <v>9.9199999999999997E-2</v>
      </c>
      <c r="F274" s="6">
        <v>9.7600000000000006E-2</v>
      </c>
      <c r="G274" s="6">
        <v>0.13070000000000001</v>
      </c>
    </row>
    <row r="275" spans="3:7">
      <c r="C275" t="s">
        <v>500</v>
      </c>
      <c r="D275" s="6">
        <v>2.8899999999999999E-2</v>
      </c>
      <c r="E275" s="6">
        <v>3.3399999999999999E-2</v>
      </c>
      <c r="F275" s="6">
        <v>3.3099999999999997E-2</v>
      </c>
      <c r="G275" s="6">
        <v>5.5399999999999998E-2</v>
      </c>
    </row>
    <row r="276" spans="3:7">
      <c r="C276" t="s">
        <v>236</v>
      </c>
      <c r="D276" s="6">
        <v>9.5399999999999999E-2</v>
      </c>
      <c r="E276" s="6">
        <v>5.4100000000000002E-2</v>
      </c>
      <c r="F276" s="6">
        <v>3.85E-2</v>
      </c>
      <c r="G276" s="6">
        <v>1.7600000000000001E-2</v>
      </c>
    </row>
    <row r="277" spans="3:7">
      <c r="C277" t="s">
        <v>334</v>
      </c>
      <c r="D277" s="6">
        <v>9.5100000000000004E-2</v>
      </c>
      <c r="E277" s="6">
        <v>9.35E-2</v>
      </c>
      <c r="F277" s="6">
        <v>0.1139</v>
      </c>
      <c r="G277" s="6">
        <v>0.1108</v>
      </c>
    </row>
    <row r="278" spans="3:7">
      <c r="C278" t="s">
        <v>162</v>
      </c>
      <c r="D278" s="6">
        <v>5.11E-2</v>
      </c>
      <c r="E278" s="6">
        <v>6.5100000000000005E-2</v>
      </c>
      <c r="F278" s="6">
        <v>8.0000000000000002E-3</v>
      </c>
      <c r="G278" s="6">
        <v>-1.6299999999999999E-2</v>
      </c>
    </row>
    <row r="279" spans="3:7">
      <c r="C279" t="s">
        <v>344</v>
      </c>
      <c r="D279" s="6">
        <v>-5.16E-2</v>
      </c>
      <c r="E279" s="6">
        <v>-3.6400000000000002E-2</v>
      </c>
      <c r="F279" s="6">
        <v>-2.7799999999999998E-2</v>
      </c>
      <c r="G279" s="6">
        <v>-4.3E-3</v>
      </c>
    </row>
    <row r="280" spans="3:7">
      <c r="C280" t="s">
        <v>241</v>
      </c>
      <c r="D280" s="6">
        <v>0.22209999999999999</v>
      </c>
      <c r="E280" s="6">
        <v>0.18190000000000001</v>
      </c>
      <c r="F280" s="6">
        <v>1.1026</v>
      </c>
      <c r="G280" s="6">
        <v>7.2300000000000003E-2</v>
      </c>
    </row>
    <row r="281" spans="3:7">
      <c r="C281" t="s">
        <v>379</v>
      </c>
      <c r="D281" s="6">
        <v>-1.14E-2</v>
      </c>
      <c r="E281" s="6">
        <v>0.12759999999999999</v>
      </c>
      <c r="F281" s="6">
        <v>8.9800000000000005E-2</v>
      </c>
      <c r="G281" s="6">
        <v>8.1000000000000003E-2</v>
      </c>
    </row>
    <row r="282" spans="3:7">
      <c r="C282" t="s">
        <v>342</v>
      </c>
      <c r="D282" s="6">
        <v>-9.7999999999999997E-3</v>
      </c>
      <c r="E282" s="6">
        <v>4.1999999999999997E-3</v>
      </c>
      <c r="F282" s="6">
        <v>4.0300000000000002E-2</v>
      </c>
      <c r="G282" s="6">
        <v>6.4299999999999996E-2</v>
      </c>
    </row>
    <row r="283" spans="3:7">
      <c r="C283" t="s">
        <v>289</v>
      </c>
      <c r="D283" s="6">
        <v>-2.7300000000000001E-2</v>
      </c>
      <c r="E283" s="6">
        <v>-5.8200000000000002E-2</v>
      </c>
      <c r="F283" s="6">
        <v>-8.9300000000000004E-2</v>
      </c>
      <c r="G283" s="6">
        <v>-0.10630000000000001</v>
      </c>
    </row>
    <row r="284" spans="3:7">
      <c r="C284" t="s">
        <v>196</v>
      </c>
      <c r="D284" s="6">
        <v>5.9900000000000002E-2</v>
      </c>
      <c r="E284" s="6">
        <v>6.0699999999999997E-2</v>
      </c>
      <c r="F284" s="6">
        <v>6.3100000000000003E-2</v>
      </c>
      <c r="G284" s="6">
        <v>6.8199999999999997E-2</v>
      </c>
    </row>
    <row r="285" spans="3:7">
      <c r="C285" t="s">
        <v>210</v>
      </c>
      <c r="D285" s="6">
        <v>0.19470000000000001</v>
      </c>
      <c r="E285" s="6">
        <v>0.17760000000000001</v>
      </c>
      <c r="F285" s="6">
        <v>0.1472</v>
      </c>
      <c r="G285" s="6">
        <v>8.6099999999999996E-2</v>
      </c>
    </row>
    <row r="286" spans="3:7">
      <c r="C286" t="s">
        <v>232</v>
      </c>
      <c r="D286" s="6">
        <v>7.1800000000000003E-2</v>
      </c>
      <c r="E286" s="6">
        <v>0.1032</v>
      </c>
      <c r="F286" s="6">
        <v>9.6199999999999994E-2</v>
      </c>
      <c r="G286" s="6">
        <v>8.6199999999999999E-2</v>
      </c>
    </row>
    <row r="287" spans="3:7">
      <c r="C287" t="s">
        <v>410</v>
      </c>
      <c r="D287" s="6">
        <v>5.2299999999999999E-2</v>
      </c>
      <c r="E287" s="6">
        <v>2.2499999999999999E-2</v>
      </c>
      <c r="F287" s="6">
        <v>3.2399999999999998E-2</v>
      </c>
      <c r="G287" s="6">
        <v>4.0800000000000003E-2</v>
      </c>
    </row>
    <row r="288" spans="3:7">
      <c r="C288" t="s">
        <v>181</v>
      </c>
      <c r="D288" s="6">
        <v>1.6299999999999999E-2</v>
      </c>
      <c r="E288" s="6">
        <v>1.7000000000000001E-2</v>
      </c>
      <c r="F288" s="6">
        <v>1.8200000000000001E-2</v>
      </c>
      <c r="G288" s="6">
        <v>6.4999999999999997E-3</v>
      </c>
    </row>
    <row r="289" spans="3:7">
      <c r="C289" t="s">
        <v>33</v>
      </c>
      <c r="D289" s="6">
        <v>2.07E-2</v>
      </c>
      <c r="E289" s="6">
        <v>3.0300000000000001E-2</v>
      </c>
      <c r="F289" s="6">
        <v>6.1199999999999997E-2</v>
      </c>
      <c r="G289" s="6">
        <v>7.0300000000000001E-2</v>
      </c>
    </row>
    <row r="290" spans="3:7">
      <c r="C290" t="s">
        <v>298</v>
      </c>
      <c r="D290" s="6">
        <v>-8.5400000000000004E-2</v>
      </c>
      <c r="E290" s="6">
        <v>-4.8800000000000003E-2</v>
      </c>
      <c r="F290" s="6">
        <v>6.7000000000000002E-3</v>
      </c>
      <c r="G290" s="6">
        <v>-8.3999999999999995E-3</v>
      </c>
    </row>
    <row r="291" spans="3:7">
      <c r="C291" t="s">
        <v>278</v>
      </c>
      <c r="D291" s="6">
        <v>-9.4799999999999995E-2</v>
      </c>
      <c r="E291" s="6">
        <v>-0.1019</v>
      </c>
      <c r="F291" s="6">
        <v>4.1700000000000001E-2</v>
      </c>
      <c r="G291" s="6">
        <v>-0.87570000000000003</v>
      </c>
    </row>
    <row r="292" spans="3:7">
      <c r="C292" t="s">
        <v>49</v>
      </c>
      <c r="D292" s="6">
        <v>0.17610000000000001</v>
      </c>
      <c r="E292" s="6">
        <v>0.153</v>
      </c>
      <c r="F292" s="6">
        <v>0.12520000000000001</v>
      </c>
      <c r="G292" s="6">
        <v>0.13689999999999999</v>
      </c>
    </row>
    <row r="293" spans="3:7">
      <c r="C293" t="s">
        <v>821</v>
      </c>
      <c r="D293" s="6">
        <v>1.55E-2</v>
      </c>
      <c r="E293" s="6">
        <v>4.3799999999999999E-2</v>
      </c>
      <c r="F293" s="6">
        <v>-7.9000000000000008E-3</v>
      </c>
      <c r="G293" s="6">
        <v>-9.7100000000000006E-2</v>
      </c>
    </row>
    <row r="294" spans="3:7">
      <c r="C294" t="s">
        <v>149</v>
      </c>
      <c r="D294" s="6">
        <v>4.53E-2</v>
      </c>
      <c r="E294" s="6">
        <v>3.8300000000000001E-2</v>
      </c>
      <c r="F294" s="6">
        <v>3.8300000000000001E-2</v>
      </c>
      <c r="G294" s="6">
        <v>3.8300000000000001E-2</v>
      </c>
    </row>
    <row r="295" spans="3:7">
      <c r="C295" t="s">
        <v>190</v>
      </c>
      <c r="D295" s="6">
        <v>2.4500000000000001E-2</v>
      </c>
      <c r="E295" s="6">
        <v>3.1199999999999999E-2</v>
      </c>
      <c r="F295" s="6">
        <v>0.33760000000000001</v>
      </c>
      <c r="G295" s="6">
        <v>4.0300000000000002E-2</v>
      </c>
    </row>
    <row r="296" spans="3:7">
      <c r="C296" t="s">
        <v>184</v>
      </c>
      <c r="D296" s="6">
        <v>-0.1051</v>
      </c>
      <c r="E296" s="6">
        <v>-3.5400000000000001E-2</v>
      </c>
      <c r="F296" s="6">
        <v>-7.1499999999999994E-2</v>
      </c>
      <c r="G296" s="6">
        <v>6.8999999999999999E-3</v>
      </c>
    </row>
    <row r="297" spans="3:7">
      <c r="C297" t="s">
        <v>451</v>
      </c>
      <c r="D297" s="6">
        <v>0.2404</v>
      </c>
      <c r="E297" s="6">
        <v>0.42309999999999998</v>
      </c>
      <c r="F297" s="6">
        <v>0.30099999999999999</v>
      </c>
      <c r="G297" s="6">
        <v>0.1928</v>
      </c>
    </row>
    <row r="298" spans="3:7">
      <c r="C298" t="s">
        <v>812</v>
      </c>
      <c r="D298" s="6">
        <v>4.3E-3</v>
      </c>
      <c r="E298" s="6">
        <v>2.7000000000000001E-3</v>
      </c>
      <c r="F298" s="6">
        <v>1.5E-3</v>
      </c>
      <c r="G298" s="6">
        <v>7.6E-3</v>
      </c>
    </row>
    <row r="299" spans="3:7">
      <c r="C299" t="s">
        <v>38</v>
      </c>
      <c r="D299" s="6">
        <v>0.1401</v>
      </c>
      <c r="E299" s="6">
        <v>8.7900000000000006E-2</v>
      </c>
      <c r="F299" s="6">
        <v>3.7699999999999997E-2</v>
      </c>
      <c r="G299" s="6">
        <v>1.1299999999999999E-2</v>
      </c>
    </row>
    <row r="300" spans="3:7">
      <c r="C300" t="s">
        <v>816</v>
      </c>
      <c r="D300" s="6">
        <v>-3.2800000000000003E-2</v>
      </c>
      <c r="E300" s="6">
        <v>-5.62E-2</v>
      </c>
      <c r="F300" s="6">
        <v>-4.6399999999999997E-2</v>
      </c>
      <c r="G300" s="6">
        <v>-1.6299999999999999E-2</v>
      </c>
    </row>
    <row r="301" spans="3:7">
      <c r="C301" t="s">
        <v>820</v>
      </c>
      <c r="D301" s="6">
        <v>9.4999999999999998E-3</v>
      </c>
      <c r="E301" s="6">
        <v>0.1787</v>
      </c>
      <c r="F301" s="6">
        <v>0.14910000000000001</v>
      </c>
      <c r="G301" s="6">
        <v>0.10440000000000001</v>
      </c>
    </row>
    <row r="302" spans="3:7">
      <c r="C302" t="s">
        <v>29</v>
      </c>
      <c r="D302" s="6">
        <v>-0.28470000000000001</v>
      </c>
      <c r="E302" s="6">
        <v>-0.74080000000000001</v>
      </c>
      <c r="F302" s="6">
        <v>-4.5600000000000002E-2</v>
      </c>
      <c r="G302" s="6">
        <v>-7.5300000000000006E-2</v>
      </c>
    </row>
    <row r="303" spans="3:7">
      <c r="C303" t="s">
        <v>43</v>
      </c>
      <c r="D303" s="6">
        <v>3.6600000000000001E-2</v>
      </c>
      <c r="E303" s="6">
        <v>4.2200000000000001E-2</v>
      </c>
      <c r="F303" s="6">
        <v>1.6999999999999999E-3</v>
      </c>
      <c r="G303" s="6">
        <v>2.6100000000000002E-2</v>
      </c>
    </row>
    <row r="304" spans="3:7">
      <c r="C304" t="s">
        <v>240</v>
      </c>
      <c r="D304" s="6">
        <v>1.1999999999999999E-3</v>
      </c>
      <c r="E304" s="6">
        <v>7.4000000000000003E-3</v>
      </c>
      <c r="F304" s="6">
        <v>3.6200000000000003E-2</v>
      </c>
      <c r="G304" s="6">
        <v>2.3E-2</v>
      </c>
    </row>
    <row r="305" spans="3:7">
      <c r="C305" t="s">
        <v>291</v>
      </c>
      <c r="D305" s="6">
        <v>-3.7100000000000001E-2</v>
      </c>
      <c r="E305" s="6">
        <v>-0.13489999999999999</v>
      </c>
      <c r="F305" s="6">
        <v>-4.8800000000000003E-2</v>
      </c>
      <c r="G305" s="6">
        <v>-0.1028</v>
      </c>
    </row>
    <row r="306" spans="3:7">
      <c r="C306" t="s">
        <v>205</v>
      </c>
      <c r="D306" s="6">
        <v>0.44869999999999999</v>
      </c>
      <c r="E306" s="6">
        <v>0.55249999999999999</v>
      </c>
      <c r="F306" s="6">
        <v>0.4536</v>
      </c>
      <c r="G306" s="6">
        <v>0.41670000000000001</v>
      </c>
    </row>
    <row r="307" spans="3:7">
      <c r="C307" t="s">
        <v>284</v>
      </c>
      <c r="D307" s="6">
        <v>2.58E-2</v>
      </c>
      <c r="E307" s="6">
        <v>7.7899999999999997E-2</v>
      </c>
      <c r="F307" s="6">
        <v>3.6799999999999999E-2</v>
      </c>
      <c r="G307" s="6">
        <v>3.7600000000000001E-2</v>
      </c>
    </row>
    <row r="308" spans="3:7">
      <c r="C308" t="s">
        <v>331</v>
      </c>
      <c r="D308" s="6">
        <v>-0.12690000000000001</v>
      </c>
      <c r="E308" s="6">
        <v>0.51470000000000005</v>
      </c>
      <c r="F308" s="6">
        <v>0.1157</v>
      </c>
      <c r="G308" s="6">
        <v>9.5500000000000002E-2</v>
      </c>
    </row>
    <row r="309" spans="3:7">
      <c r="C309" t="s">
        <v>285</v>
      </c>
      <c r="D309" s="6">
        <v>0.1045</v>
      </c>
      <c r="E309" s="6">
        <v>0.10050000000000001</v>
      </c>
      <c r="F309" s="6">
        <v>0.1023</v>
      </c>
      <c r="G309" s="6">
        <v>0.3836</v>
      </c>
    </row>
    <row r="310" spans="3:7">
      <c r="C310" t="s">
        <v>62</v>
      </c>
      <c r="D310" s="6">
        <v>1.0500000000000001E-2</v>
      </c>
      <c r="E310" s="6">
        <v>-5.6500000000000002E-2</v>
      </c>
      <c r="F310" s="6">
        <v>-6.5699999999999995E-2</v>
      </c>
      <c r="G310" s="6">
        <v>-5.3999999999999999E-2</v>
      </c>
    </row>
    <row r="311" spans="3:7">
      <c r="C311" t="s">
        <v>218</v>
      </c>
      <c r="D311" s="6">
        <v>8.5300000000000001E-2</v>
      </c>
      <c r="E311" s="6">
        <v>6.1600000000000002E-2</v>
      </c>
      <c r="F311" s="6">
        <v>5.0700000000000002E-2</v>
      </c>
      <c r="G311" s="6">
        <v>6.59E-2</v>
      </c>
    </row>
    <row r="312" spans="3:7">
      <c r="C312" t="s">
        <v>211</v>
      </c>
      <c r="D312" s="6">
        <v>-1.11E-2</v>
      </c>
      <c r="E312" s="6">
        <v>-1.2699999999999999E-2</v>
      </c>
      <c r="F312" s="6">
        <v>-9.2399999999999996E-2</v>
      </c>
      <c r="G312" s="6">
        <v>-2.2200000000000001E-2</v>
      </c>
    </row>
    <row r="313" spans="3:7">
      <c r="C313" t="s">
        <v>242</v>
      </c>
      <c r="D313" s="6">
        <v>-1.1299999999999999E-2</v>
      </c>
      <c r="E313" s="6">
        <v>-2.7000000000000001E-3</v>
      </c>
      <c r="F313" s="6">
        <v>-4.4999999999999997E-3</v>
      </c>
      <c r="G313" s="6">
        <v>2.9999999999999997E-4</v>
      </c>
    </row>
    <row r="314" spans="3:7">
      <c r="C314" t="s">
        <v>362</v>
      </c>
      <c r="D314" s="6">
        <v>0.29859999999999998</v>
      </c>
      <c r="E314" s="6">
        <v>0.2</v>
      </c>
      <c r="F314" s="6">
        <v>0.1186</v>
      </c>
      <c r="G314" s="6">
        <v>3.44E-2</v>
      </c>
    </row>
    <row r="315" spans="3:7">
      <c r="C315" t="s">
        <v>827</v>
      </c>
      <c r="D315" s="6">
        <v>-1E-3</v>
      </c>
      <c r="E315" s="6">
        <v>2.7000000000000001E-3</v>
      </c>
      <c r="F315" s="6">
        <v>5.4399999999999997E-2</v>
      </c>
      <c r="G315" s="6">
        <v>3.7999999999999999E-2</v>
      </c>
    </row>
    <row r="316" spans="3:7">
      <c r="C316" t="s">
        <v>116</v>
      </c>
      <c r="D316" s="6">
        <v>9.9500000000000005E-2</v>
      </c>
      <c r="E316" s="6">
        <v>3.9E-2</v>
      </c>
      <c r="F316" s="6">
        <v>3.8600000000000002E-2</v>
      </c>
      <c r="G316" s="6">
        <v>6.6299999999999998E-2</v>
      </c>
    </row>
    <row r="317" spans="3:7">
      <c r="C317" t="s">
        <v>158</v>
      </c>
      <c r="D317" s="6">
        <v>3.95E-2</v>
      </c>
      <c r="E317" s="6">
        <v>2.4E-2</v>
      </c>
      <c r="F317" s="6">
        <v>2.4E-2</v>
      </c>
      <c r="G317" s="6">
        <v>2.4E-2</v>
      </c>
    </row>
    <row r="318" spans="3:7">
      <c r="C318" t="s">
        <v>394</v>
      </c>
      <c r="D318" s="6">
        <v>0.51880000000000004</v>
      </c>
      <c r="E318" s="6">
        <v>-4.9500000000000002E-2</v>
      </c>
      <c r="F318" s="6">
        <v>-6.3799999999999996E-2</v>
      </c>
      <c r="G318" s="6">
        <v>-6.3799999999999996E-2</v>
      </c>
    </row>
    <row r="319" spans="3:7">
      <c r="C319" t="s">
        <v>98</v>
      </c>
      <c r="D319" s="6">
        <v>-0.21199999999999999</v>
      </c>
      <c r="E319" s="6">
        <v>9.1999999999999998E-3</v>
      </c>
      <c r="F319" s="6">
        <v>-8.2500000000000004E-2</v>
      </c>
      <c r="G319" s="6">
        <v>8.0000000000000004E-4</v>
      </c>
    </row>
    <row r="320" spans="3:7">
      <c r="C320" t="s">
        <v>86</v>
      </c>
      <c r="D320" s="6">
        <v>4.9000000000000002E-2</v>
      </c>
      <c r="E320" s="6">
        <v>6.8599999999999994E-2</v>
      </c>
      <c r="F320" s="6">
        <v>5.1299999999999998E-2</v>
      </c>
      <c r="G320" s="6">
        <v>4.2900000000000001E-2</v>
      </c>
    </row>
    <row r="321" spans="3:7">
      <c r="C321" t="s">
        <v>90</v>
      </c>
      <c r="D321" s="6">
        <v>2.86E-2</v>
      </c>
      <c r="E321" s="6">
        <v>7.1000000000000004E-3</v>
      </c>
      <c r="F321" s="6">
        <v>3.73E-2</v>
      </c>
      <c r="G321" s="6">
        <v>3.0700000000000002E-2</v>
      </c>
    </row>
    <row r="322" spans="3:7">
      <c r="C322" t="s">
        <v>204</v>
      </c>
      <c r="D322" s="6">
        <v>5.8599999999999999E-2</v>
      </c>
      <c r="E322" s="6">
        <v>2.1299999999999999E-2</v>
      </c>
      <c r="F322" s="6">
        <v>4.0000000000000002E-4</v>
      </c>
      <c r="G322" s="6">
        <v>6.1000000000000004E-3</v>
      </c>
    </row>
    <row r="323" spans="3:7">
      <c r="C323" t="s">
        <v>414</v>
      </c>
      <c r="D323" s="6">
        <v>9.2799999999999994E-2</v>
      </c>
      <c r="E323" s="6">
        <v>8.9200000000000002E-2</v>
      </c>
      <c r="F323" s="6">
        <v>8.5000000000000006E-2</v>
      </c>
      <c r="G323" s="6">
        <v>7.3800000000000004E-2</v>
      </c>
    </row>
    <row r="324" spans="3:7">
      <c r="C324" t="s">
        <v>119</v>
      </c>
      <c r="D324" s="6">
        <v>3.0000000000000001E-3</v>
      </c>
      <c r="E324" s="6">
        <v>1.0800000000000001E-2</v>
      </c>
      <c r="F324" s="6">
        <v>8.8599999999999998E-2</v>
      </c>
      <c r="G324" s="6">
        <v>5.5300000000000002E-2</v>
      </c>
    </row>
    <row r="325" spans="3:7">
      <c r="C325" t="s">
        <v>22</v>
      </c>
      <c r="D325" s="6">
        <v>8.4699999999999998E-2</v>
      </c>
      <c r="E325" s="6">
        <v>8.5099999999999995E-2</v>
      </c>
      <c r="F325" s="6">
        <v>0.1051</v>
      </c>
      <c r="G325" s="6">
        <v>0.10639999999999999</v>
      </c>
    </row>
    <row r="326" spans="3:7">
      <c r="C326" t="s">
        <v>68</v>
      </c>
      <c r="D326" s="6">
        <v>3.0300000000000001E-2</v>
      </c>
      <c r="E326" s="6">
        <v>1.7100000000000001E-2</v>
      </c>
      <c r="F326" s="6">
        <v>3.1699999999999999E-2</v>
      </c>
      <c r="G326" s="6">
        <v>3.27E-2</v>
      </c>
    </row>
    <row r="327" spans="3:7">
      <c r="C327" t="s">
        <v>329</v>
      </c>
      <c r="D327" s="6">
        <v>-5.1999999999999998E-2</v>
      </c>
      <c r="E327" s="6">
        <v>-0.1447</v>
      </c>
      <c r="F327" s="6">
        <v>-2.86E-2</v>
      </c>
      <c r="G327" s="6">
        <v>-0.1278</v>
      </c>
    </row>
    <row r="328" spans="3:7">
      <c r="C328" t="s">
        <v>491</v>
      </c>
      <c r="D328" s="6">
        <v>0.1197</v>
      </c>
      <c r="E328" s="6">
        <v>0.1434</v>
      </c>
      <c r="F328" s="6">
        <v>0.14299999999999999</v>
      </c>
      <c r="G328" s="6">
        <v>9.6199999999999994E-2</v>
      </c>
    </row>
    <row r="329" spans="3:7">
      <c r="C329" t="s">
        <v>118</v>
      </c>
      <c r="D329" s="6">
        <v>-8.3000000000000001E-3</v>
      </c>
      <c r="E329" s="6">
        <v>1.8E-3</v>
      </c>
      <c r="F329" s="6">
        <v>-1.72E-2</v>
      </c>
      <c r="G329" s="6">
        <v>-2.23E-2</v>
      </c>
    </row>
    <row r="330" spans="3:7">
      <c r="C330" t="s">
        <v>260</v>
      </c>
      <c r="D330" s="6">
        <v>0.154</v>
      </c>
      <c r="E330" s="6">
        <v>0.1143</v>
      </c>
      <c r="F330" s="6">
        <v>5.6099999999999997E-2</v>
      </c>
      <c r="G330" s="6">
        <v>1.9599999999999999E-2</v>
      </c>
    </row>
    <row r="331" spans="3:7">
      <c r="C331" t="s">
        <v>292</v>
      </c>
      <c r="D331" s="6">
        <v>2.2100000000000002E-2</v>
      </c>
      <c r="E331" s="6">
        <v>2.9700000000000001E-2</v>
      </c>
      <c r="F331" s="6">
        <v>0.02</v>
      </c>
      <c r="G331" s="6">
        <v>7.6E-3</v>
      </c>
    </row>
    <row r="332" spans="3:7">
      <c r="C332" t="s">
        <v>61</v>
      </c>
      <c r="D332" s="6">
        <v>2.1600000000000001E-2</v>
      </c>
      <c r="E332" s="6">
        <v>1.11E-2</v>
      </c>
      <c r="F332" s="6">
        <v>-1.12E-2</v>
      </c>
      <c r="G332" s="6">
        <v>1.7899999999999999E-2</v>
      </c>
    </row>
    <row r="333" spans="3:7">
      <c r="C333" t="s">
        <v>94</v>
      </c>
      <c r="D333" s="6">
        <v>-5.2999999999999999E-2</v>
      </c>
      <c r="E333" s="6">
        <v>-0.32540000000000002</v>
      </c>
      <c r="F333" s="6">
        <v>-8.8800000000000004E-2</v>
      </c>
      <c r="G333" s="6">
        <v>-5.4899999999999997E-2</v>
      </c>
    </row>
    <row r="334" spans="3:7">
      <c r="C334" t="s">
        <v>417</v>
      </c>
      <c r="D334" s="6">
        <v>3.3399999999999999E-2</v>
      </c>
      <c r="E334" s="6">
        <v>5.8700000000000002E-2</v>
      </c>
      <c r="F334" s="6">
        <v>0.11840000000000001</v>
      </c>
      <c r="G334" s="6">
        <v>0.10440000000000001</v>
      </c>
    </row>
    <row r="335" spans="3:7">
      <c r="C335" t="s">
        <v>193</v>
      </c>
      <c r="D335" s="6">
        <v>1.0999999999999999E-2</v>
      </c>
      <c r="E335" s="6">
        <v>2.1399999999999999E-2</v>
      </c>
      <c r="F335" s="6">
        <v>5.9200000000000003E-2</v>
      </c>
      <c r="G335" s="6">
        <v>6.4600000000000005E-2</v>
      </c>
    </row>
    <row r="336" spans="3:7">
      <c r="C336" t="s">
        <v>283</v>
      </c>
      <c r="D336" s="6">
        <v>3.7900000000000003E-2</v>
      </c>
      <c r="E336" s="6">
        <v>5.8599999999999999E-2</v>
      </c>
      <c r="F336" s="6">
        <v>5.5100000000000003E-2</v>
      </c>
      <c r="G336" s="6">
        <v>5.45E-2</v>
      </c>
    </row>
    <row r="337" spans="3:7">
      <c r="C337" t="s">
        <v>424</v>
      </c>
      <c r="D337" s="6">
        <v>-5.7700000000000001E-2</v>
      </c>
      <c r="E337" s="6">
        <v>-7.1999999999999998E-3</v>
      </c>
      <c r="F337" s="6">
        <v>-5.5100000000000003E-2</v>
      </c>
      <c r="G337" s="6">
        <v>2.1999999999999999E-2</v>
      </c>
    </row>
    <row r="338" spans="3:7">
      <c r="C338" t="s">
        <v>31</v>
      </c>
      <c r="D338" s="6">
        <v>2.7699999999999999E-2</v>
      </c>
      <c r="E338" s="6">
        <v>2.0799999999999999E-2</v>
      </c>
      <c r="F338" s="6">
        <v>2.4400000000000002E-2</v>
      </c>
      <c r="G338" s="6">
        <v>3.0200000000000001E-2</v>
      </c>
    </row>
    <row r="339" spans="3:7">
      <c r="C339" t="s">
        <v>154</v>
      </c>
      <c r="D339" s="6">
        <v>-8.3299999999999999E-2</v>
      </c>
      <c r="E339" s="6">
        <v>-7.0800000000000002E-2</v>
      </c>
      <c r="F339" s="6">
        <v>-2.8899999999999999E-2</v>
      </c>
      <c r="G339" s="6">
        <v>-0.4158</v>
      </c>
    </row>
    <row r="340" spans="3:7">
      <c r="C340" t="s">
        <v>404</v>
      </c>
      <c r="D340" s="6">
        <v>2.0000000000000001E-4</v>
      </c>
      <c r="E340" s="6">
        <v>5.4000000000000003E-3</v>
      </c>
      <c r="F340" s="6">
        <v>4.0000000000000002E-4</v>
      </c>
      <c r="G340" s="6">
        <v>-3.9100000000000003E-2</v>
      </c>
    </row>
    <row r="341" spans="3:7">
      <c r="C341" t="s">
        <v>325</v>
      </c>
      <c r="D341" s="6">
        <v>8.8999999999999999E-3</v>
      </c>
      <c r="E341" s="6">
        <v>2.6499999999999999E-2</v>
      </c>
      <c r="F341" s="6">
        <v>5.62E-2</v>
      </c>
      <c r="G341" s="6">
        <v>7.7799999999999994E-2</v>
      </c>
    </row>
    <row r="342" spans="3:7">
      <c r="C342" t="s">
        <v>402</v>
      </c>
      <c r="D342" s="6">
        <v>0.15409999999999999</v>
      </c>
      <c r="E342" s="6">
        <v>5.9200000000000003E-2</v>
      </c>
      <c r="F342" s="6">
        <v>5.5899999999999998E-2</v>
      </c>
      <c r="G342" s="6">
        <v>3.85E-2</v>
      </c>
    </row>
    <row r="343" spans="3:7">
      <c r="C343" t="s">
        <v>401</v>
      </c>
      <c r="D343" s="6">
        <v>-4.6699999999999998E-2</v>
      </c>
      <c r="E343" s="6">
        <v>-4.2099999999999999E-2</v>
      </c>
      <c r="F343" s="6">
        <v>-7.9000000000000008E-3</v>
      </c>
      <c r="G343" s="6">
        <v>2E-3</v>
      </c>
    </row>
    <row r="344" spans="3:7">
      <c r="C344" t="s">
        <v>336</v>
      </c>
      <c r="D344" s="6">
        <v>-1.2999999999999999E-3</v>
      </c>
      <c r="E344" s="6">
        <v>3.73E-2</v>
      </c>
      <c r="F344" s="6">
        <v>4.4600000000000001E-2</v>
      </c>
      <c r="G344" s="6">
        <v>2.7300000000000001E-2</v>
      </c>
    </row>
    <row r="345" spans="3:7">
      <c r="C345" t="s">
        <v>358</v>
      </c>
      <c r="D345" s="6">
        <v>2.0199999999999999E-2</v>
      </c>
      <c r="E345" s="6">
        <v>2.06E-2</v>
      </c>
      <c r="F345" s="6">
        <v>2.3400000000000001E-2</v>
      </c>
      <c r="G345" s="6">
        <v>1.2699999999999999E-2</v>
      </c>
    </row>
    <row r="346" spans="3:7">
      <c r="C346" t="s">
        <v>65</v>
      </c>
      <c r="D346" s="6">
        <v>-5.2200000000000003E-2</v>
      </c>
      <c r="E346" s="6">
        <v>-2.1600000000000001E-2</v>
      </c>
      <c r="F346" s="6">
        <v>-3.8E-3</v>
      </c>
      <c r="G346" s="6">
        <v>-0.1104</v>
      </c>
    </row>
    <row r="347" spans="3:7">
      <c r="C347" t="s">
        <v>58</v>
      </c>
      <c r="D347" s="6">
        <v>6.4899999999999999E-2</v>
      </c>
      <c r="E347" s="6">
        <v>7.5899999999999995E-2</v>
      </c>
      <c r="F347" s="6">
        <v>3.3300000000000003E-2</v>
      </c>
      <c r="G347" s="6">
        <v>2.5100000000000001E-2</v>
      </c>
    </row>
    <row r="348" spans="3:7">
      <c r="C348" t="s">
        <v>7</v>
      </c>
      <c r="D348" s="6">
        <v>4.0500000000000001E-2</v>
      </c>
      <c r="E348" s="6">
        <v>3.9800000000000002E-2</v>
      </c>
      <c r="F348" s="6">
        <v>3.27E-2</v>
      </c>
      <c r="G348" s="6">
        <v>1.54E-2</v>
      </c>
    </row>
    <row r="349" spans="3:7">
      <c r="C349" t="s">
        <v>489</v>
      </c>
      <c r="D349" s="6">
        <v>5.7299999999999997E-2</v>
      </c>
      <c r="E349" s="6">
        <v>6.08E-2</v>
      </c>
      <c r="F349" s="6">
        <v>5.74E-2</v>
      </c>
      <c r="G349" s="6">
        <v>4.7300000000000002E-2</v>
      </c>
    </row>
    <row r="350" spans="3:7">
      <c r="C350" t="s">
        <v>14</v>
      </c>
      <c r="D350" s="6">
        <v>5.1700000000000003E-2</v>
      </c>
      <c r="E350" s="6">
        <v>4.1500000000000002E-2</v>
      </c>
      <c r="F350" s="6">
        <v>1.7899999999999999E-2</v>
      </c>
      <c r="G350" s="6">
        <v>1.54E-2</v>
      </c>
    </row>
    <row r="351" spans="3:7">
      <c r="C351" t="s">
        <v>270</v>
      </c>
      <c r="D351" s="6">
        <v>-7.3099999999999998E-2</v>
      </c>
      <c r="E351" s="6">
        <v>3.15E-2</v>
      </c>
      <c r="F351" s="6">
        <v>-8.9599999999999999E-2</v>
      </c>
      <c r="G351" s="6">
        <v>-6.4799999999999996E-2</v>
      </c>
    </row>
    <row r="352" spans="3:7">
      <c r="C352" t="s">
        <v>208</v>
      </c>
      <c r="D352" s="6">
        <v>-1.6999999999999999E-3</v>
      </c>
      <c r="E352" s="6">
        <v>-2.0999999999999999E-3</v>
      </c>
      <c r="F352" s="6">
        <v>4.0000000000000001E-3</v>
      </c>
      <c r="G352" s="6">
        <v>-2.6499999999999999E-2</v>
      </c>
    </row>
    <row r="353" spans="3:7">
      <c r="C353" t="s">
        <v>494</v>
      </c>
      <c r="D353" s="6">
        <v>-0.21740000000000001</v>
      </c>
      <c r="E353" s="6">
        <v>4.0000000000000001E-3</v>
      </c>
      <c r="F353" s="6">
        <v>-6.4899999999999999E-2</v>
      </c>
      <c r="G353" s="6">
        <v>-8.4699999999999998E-2</v>
      </c>
    </row>
    <row r="354" spans="3:7">
      <c r="C354" t="s">
        <v>281</v>
      </c>
      <c r="D354" s="6">
        <v>0.1817</v>
      </c>
      <c r="E354" s="6">
        <v>0.17419999999999999</v>
      </c>
      <c r="F354" s="6">
        <v>2.5100000000000001E-2</v>
      </c>
      <c r="G354" s="6">
        <v>1.77E-2</v>
      </c>
    </row>
    <row r="355" spans="3:7">
      <c r="C355" t="s">
        <v>230</v>
      </c>
      <c r="D355" s="6">
        <v>7.3400000000000007E-2</v>
      </c>
      <c r="E355" s="6">
        <v>8.2100000000000006E-2</v>
      </c>
      <c r="F355" s="6">
        <v>9.2899999999999996E-2</v>
      </c>
      <c r="G355" s="6">
        <v>0.1067</v>
      </c>
    </row>
    <row r="356" spans="3:7">
      <c r="C356" t="s">
        <v>268</v>
      </c>
      <c r="D356" s="6">
        <v>-4.3499999999999997E-2</v>
      </c>
      <c r="E356" s="6">
        <v>-2.6200000000000001E-2</v>
      </c>
      <c r="F356" s="6">
        <v>-1.46E-2</v>
      </c>
      <c r="G356" s="6">
        <v>-3.4799999999999998E-2</v>
      </c>
    </row>
    <row r="357" spans="3:7">
      <c r="C357" t="s">
        <v>192</v>
      </c>
      <c r="D357" s="6">
        <v>5.1200000000000002E-2</v>
      </c>
      <c r="E357" s="6">
        <v>1.9599999999999999E-2</v>
      </c>
      <c r="F357" s="6">
        <v>-4.58E-2</v>
      </c>
      <c r="G357" s="6">
        <v>-3.27E-2</v>
      </c>
    </row>
    <row r="358" spans="3:7">
      <c r="C358" t="s">
        <v>100</v>
      </c>
      <c r="D358" s="6">
        <v>1.7899999999999999E-2</v>
      </c>
      <c r="E358" s="6">
        <v>1.4E-3</v>
      </c>
      <c r="F358" s="6">
        <v>7.6E-3</v>
      </c>
      <c r="G358" s="6">
        <v>2.87E-2</v>
      </c>
    </row>
    <row r="359" spans="3:7">
      <c r="C359" t="s">
        <v>376</v>
      </c>
      <c r="D359" s="6">
        <v>-5.0000000000000001E-3</v>
      </c>
      <c r="E359" s="6">
        <v>3.4099999999999998E-2</v>
      </c>
      <c r="F359" s="6">
        <v>-2.4E-2</v>
      </c>
      <c r="G359" s="6">
        <v>-3.6499999999999998E-2</v>
      </c>
    </row>
    <row r="360" spans="3:7">
      <c r="C360" t="s">
        <v>308</v>
      </c>
      <c r="D360" s="6">
        <v>4.6899999999999997E-2</v>
      </c>
      <c r="E360" s="6">
        <v>1.1599999999999999E-2</v>
      </c>
      <c r="F360" s="6">
        <v>1.15E-2</v>
      </c>
      <c r="G360" s="6">
        <v>8.5000000000000006E-3</v>
      </c>
    </row>
    <row r="361" spans="3:7">
      <c r="C361" t="s">
        <v>26</v>
      </c>
      <c r="D361" s="6">
        <v>9.5799999999999996E-2</v>
      </c>
      <c r="E361" s="6">
        <v>8.5999999999999993E-2</v>
      </c>
      <c r="F361" s="6">
        <v>6.6299999999999998E-2</v>
      </c>
      <c r="G361" s="6">
        <v>0.17660000000000001</v>
      </c>
    </row>
    <row r="362" spans="3:7">
      <c r="C362" t="s">
        <v>221</v>
      </c>
      <c r="D362" s="6">
        <v>3.15E-2</v>
      </c>
      <c r="E362" s="6">
        <v>4.36E-2</v>
      </c>
      <c r="F362" s="6">
        <v>4.87E-2</v>
      </c>
      <c r="G362" s="6">
        <v>4.9500000000000002E-2</v>
      </c>
    </row>
    <row r="363" spans="3:7">
      <c r="C363" t="s">
        <v>46</v>
      </c>
      <c r="D363" s="6">
        <v>8.8599999999999998E-2</v>
      </c>
      <c r="E363" s="6">
        <v>8.5199999999999998E-2</v>
      </c>
      <c r="F363" s="6">
        <v>0.1159</v>
      </c>
      <c r="G363" s="6">
        <v>0.11899999999999999</v>
      </c>
    </row>
    <row r="364" spans="3:7">
      <c r="C364" t="s">
        <v>823</v>
      </c>
      <c r="D364" s="6">
        <v>1.6999999999999999E-3</v>
      </c>
      <c r="E364" s="6">
        <v>4.0000000000000001E-3</v>
      </c>
      <c r="F364" s="6">
        <v>4.4000000000000003E-3</v>
      </c>
      <c r="G364" s="6">
        <v>-0.15479999999999999</v>
      </c>
    </row>
    <row r="365" spans="3:7">
      <c r="C365" t="s">
        <v>216</v>
      </c>
      <c r="D365" s="6">
        <v>-9.3399999999999997E-2</v>
      </c>
      <c r="E365" s="6">
        <v>-5.9799999999999999E-2</v>
      </c>
      <c r="F365" s="6">
        <v>-4.2200000000000001E-2</v>
      </c>
      <c r="G365" s="6">
        <v>-3.0499999999999999E-2</v>
      </c>
    </row>
    <row r="366" spans="3:7">
      <c r="C366" t="s">
        <v>209</v>
      </c>
      <c r="D366" s="6">
        <v>9.7900000000000001E-2</v>
      </c>
      <c r="E366" s="6">
        <v>0.13389999999999999</v>
      </c>
      <c r="F366" s="6">
        <v>6.0000000000000001E-3</v>
      </c>
      <c r="G366" s="6">
        <v>4.5499999999999999E-2</v>
      </c>
    </row>
    <row r="367" spans="3:7">
      <c r="C367" t="s">
        <v>248</v>
      </c>
      <c r="D367" s="6">
        <v>9.1999999999999998E-3</v>
      </c>
      <c r="E367" s="6">
        <v>9.4000000000000004E-3</v>
      </c>
      <c r="F367" s="6">
        <v>8.0999999999999996E-3</v>
      </c>
      <c r="G367" s="6">
        <v>1.17E-2</v>
      </c>
    </row>
    <row r="368" spans="3:7">
      <c r="C368" t="s">
        <v>256</v>
      </c>
      <c r="D368" s="6">
        <v>-0.11890000000000001</v>
      </c>
      <c r="E368" s="6">
        <v>-0.15570000000000001</v>
      </c>
      <c r="F368" s="6">
        <v>-0.11890000000000001</v>
      </c>
      <c r="G368" s="6">
        <v>-0.11890000000000001</v>
      </c>
    </row>
    <row r="369" spans="3:7">
      <c r="C369" t="s">
        <v>403</v>
      </c>
      <c r="D369" s="6">
        <v>-0.83389999999999997</v>
      </c>
      <c r="E369" s="6">
        <v>1.11E-2</v>
      </c>
      <c r="F369" s="6">
        <v>1.7999999999999999E-2</v>
      </c>
      <c r="G369" s="6">
        <v>1.7999999999999999E-2</v>
      </c>
    </row>
    <row r="370" spans="3:7">
      <c r="C370" t="s">
        <v>152</v>
      </c>
      <c r="D370" s="6">
        <v>-3.7400000000000003E-2</v>
      </c>
      <c r="E370" s="6">
        <v>4.8399999999999999E-2</v>
      </c>
      <c r="F370" s="6">
        <v>3.3999999999999998E-3</v>
      </c>
      <c r="G370" s="6">
        <v>-2.69E-2</v>
      </c>
    </row>
    <row r="371" spans="3:7">
      <c r="C371" t="s">
        <v>280</v>
      </c>
      <c r="D371" s="6">
        <v>0.13089999999999999</v>
      </c>
      <c r="E371" s="6">
        <v>0.11269999999999999</v>
      </c>
      <c r="F371" s="6">
        <v>0.11119999999999999</v>
      </c>
      <c r="G371" s="6">
        <v>8.7499999999999994E-2</v>
      </c>
    </row>
    <row r="372" spans="3:7">
      <c r="C372" t="s">
        <v>348</v>
      </c>
      <c r="D372" s="6">
        <v>0.35320000000000001</v>
      </c>
      <c r="E372" s="6">
        <v>0.11749999999999999</v>
      </c>
      <c r="F372" s="6">
        <v>2.8299999999999999E-2</v>
      </c>
      <c r="G372" s="6">
        <v>2.5999999999999999E-3</v>
      </c>
    </row>
    <row r="373" spans="3:7">
      <c r="C373" t="s">
        <v>97</v>
      </c>
      <c r="D373" s="6">
        <v>1.6799999999999999E-2</v>
      </c>
      <c r="E373" s="6">
        <v>1.46E-2</v>
      </c>
      <c r="F373" s="6">
        <v>-2.2000000000000001E-3</v>
      </c>
      <c r="G373" s="6">
        <v>-1.5699999999999999E-2</v>
      </c>
    </row>
    <row r="374" spans="3:7">
      <c r="C374" t="s">
        <v>108</v>
      </c>
      <c r="D374" s="6">
        <v>0.1376</v>
      </c>
      <c r="E374" s="6">
        <v>8.6699999999999999E-2</v>
      </c>
      <c r="F374" s="6">
        <v>0.215</v>
      </c>
      <c r="G374" s="6">
        <v>0.16739999999999999</v>
      </c>
    </row>
    <row r="375" spans="3:7">
      <c r="C375" t="s">
        <v>224</v>
      </c>
      <c r="D375" s="6">
        <v>5.6599999999999998E-2</v>
      </c>
      <c r="E375" s="6">
        <v>2.81E-2</v>
      </c>
      <c r="F375" s="6">
        <v>6.4000000000000003E-3</v>
      </c>
      <c r="G375" s="6">
        <v>3.5999999999999999E-3</v>
      </c>
    </row>
    <row r="376" spans="3:7">
      <c r="C376" t="s">
        <v>126</v>
      </c>
      <c r="D376" s="6">
        <v>2.1399999999999999E-2</v>
      </c>
      <c r="E376" s="6">
        <v>1.67E-2</v>
      </c>
      <c r="F376" s="6">
        <v>1.23E-2</v>
      </c>
      <c r="G376" s="6">
        <v>-6.8699999999999997E-2</v>
      </c>
    </row>
    <row r="377" spans="3:7">
      <c r="C377" t="s">
        <v>93</v>
      </c>
      <c r="D377" s="6">
        <v>-1.5900000000000001E-2</v>
      </c>
      <c r="E377" s="6">
        <v>1.43E-2</v>
      </c>
      <c r="F377" s="6">
        <v>1.5599999999999999E-2</v>
      </c>
      <c r="G377" s="6">
        <v>7.4000000000000003E-3</v>
      </c>
    </row>
    <row r="378" spans="3:7">
      <c r="C378" t="s">
        <v>128</v>
      </c>
      <c r="D378" s="6">
        <v>1.11E-2</v>
      </c>
      <c r="E378" s="6">
        <v>4.5499999999999999E-2</v>
      </c>
      <c r="F378" s="6">
        <v>2.7799999999999998E-2</v>
      </c>
      <c r="G378" s="6">
        <v>-4.8000000000000001E-2</v>
      </c>
    </row>
    <row r="379" spans="3:7">
      <c r="C379" t="s">
        <v>99</v>
      </c>
      <c r="D379" s="6">
        <v>0.1062</v>
      </c>
      <c r="E379" s="6">
        <v>0.1119</v>
      </c>
      <c r="F379" s="6">
        <v>0.1055</v>
      </c>
      <c r="G379" s="6">
        <v>9.2499999999999999E-2</v>
      </c>
    </row>
    <row r="380" spans="3:7">
      <c r="C380" t="s">
        <v>180</v>
      </c>
      <c r="D380" s="6">
        <v>3.56E-2</v>
      </c>
      <c r="E380" s="6">
        <v>-2.3800000000000002E-2</v>
      </c>
      <c r="F380" s="6">
        <v>-0.1047</v>
      </c>
      <c r="G380" s="6">
        <v>1.2999999999999999E-3</v>
      </c>
    </row>
    <row r="381" spans="3:7">
      <c r="C381" t="s">
        <v>125</v>
      </c>
      <c r="D381" s="6">
        <v>-1.3599999999999999E-2</v>
      </c>
      <c r="E381" s="6">
        <v>1.24E-2</v>
      </c>
      <c r="F381" s="6">
        <v>-9.7000000000000003E-3</v>
      </c>
      <c r="G381" s="6">
        <v>-6.4999999999999997E-3</v>
      </c>
    </row>
    <row r="382" spans="3:7">
      <c r="C382" t="s">
        <v>174</v>
      </c>
      <c r="D382" s="6">
        <v>9.6199999999999994E-2</v>
      </c>
      <c r="E382" s="6">
        <v>8.9300000000000004E-2</v>
      </c>
      <c r="F382" s="6">
        <v>8.4599999999999995E-2</v>
      </c>
      <c r="G382" s="6">
        <v>0.1258</v>
      </c>
    </row>
    <row r="383" spans="3:7">
      <c r="C383" t="s">
        <v>350</v>
      </c>
      <c r="D383" s="6">
        <v>0.1187</v>
      </c>
      <c r="E383" s="6">
        <v>0.10680000000000001</v>
      </c>
      <c r="F383" s="6">
        <v>9.8199999999999996E-2</v>
      </c>
      <c r="G383" s="6">
        <v>9.6600000000000005E-2</v>
      </c>
    </row>
    <row r="384" spans="3:7">
      <c r="C384" t="s">
        <v>72</v>
      </c>
      <c r="D384" s="6">
        <v>1.8599999999999998E-2</v>
      </c>
      <c r="E384" s="6">
        <v>7.4000000000000003E-3</v>
      </c>
      <c r="F384" s="6">
        <v>6.7599999999999993E-2</v>
      </c>
      <c r="G384" s="6">
        <v>4.0000000000000001E-3</v>
      </c>
    </row>
    <row r="385" spans="3:7">
      <c r="C385" t="s">
        <v>366</v>
      </c>
      <c r="D385" s="6">
        <v>-2.2499999999999999E-2</v>
      </c>
      <c r="E385" s="6">
        <v>-0.39200000000000002</v>
      </c>
      <c r="F385" s="6">
        <v>-0.43909999999999999</v>
      </c>
      <c r="G385" s="6">
        <v>0.31019999999999998</v>
      </c>
    </row>
    <row r="386" spans="3:7">
      <c r="C386" t="s">
        <v>375</v>
      </c>
      <c r="D386" s="6">
        <v>-4.8599999999999997E-2</v>
      </c>
      <c r="E386" s="6">
        <v>-2.9700000000000001E-2</v>
      </c>
      <c r="F386" s="6">
        <v>-5.96E-2</v>
      </c>
      <c r="G386" s="6">
        <v>-6.8500000000000005E-2</v>
      </c>
    </row>
    <row r="387" spans="3:7">
      <c r="C387" t="s">
        <v>28</v>
      </c>
      <c r="D387" s="6">
        <v>8.3699999999999997E-2</v>
      </c>
      <c r="E387" s="6">
        <v>9.5299999999999996E-2</v>
      </c>
      <c r="F387" s="6">
        <v>8.2000000000000007E-3</v>
      </c>
      <c r="G387" s="6">
        <v>1E-3</v>
      </c>
    </row>
    <row r="388" spans="3:7">
      <c r="C388" t="s">
        <v>228</v>
      </c>
      <c r="D388" s="6">
        <v>-4.8899999999999999E-2</v>
      </c>
      <c r="E388" s="6">
        <v>-4.5199999999999997E-2</v>
      </c>
      <c r="F388" s="6">
        <v>-3.9E-2</v>
      </c>
      <c r="G388" s="6">
        <v>-2.5899999999999999E-2</v>
      </c>
    </row>
    <row r="389" spans="3:7">
      <c r="C389" t="s">
        <v>312</v>
      </c>
      <c r="D389" s="6">
        <v>3.2300000000000002E-2</v>
      </c>
      <c r="E389" s="6">
        <v>2.0299999999999999E-2</v>
      </c>
      <c r="F389" s="6">
        <v>8.2000000000000007E-3</v>
      </c>
      <c r="G389" s="6">
        <v>2.3E-3</v>
      </c>
    </row>
    <row r="390" spans="3:7">
      <c r="C390" t="s">
        <v>416</v>
      </c>
      <c r="D390" s="6">
        <v>4.3700000000000003E-2</v>
      </c>
      <c r="E390" s="6">
        <v>3.8399999999999997E-2</v>
      </c>
      <c r="F390" s="6">
        <v>4.6399999999999997E-2</v>
      </c>
      <c r="G390" s="6">
        <v>5.8500000000000003E-2</v>
      </c>
    </row>
    <row r="391" spans="3:7">
      <c r="C391" t="s">
        <v>139</v>
      </c>
      <c r="D391" s="6">
        <v>0.2024</v>
      </c>
      <c r="E391" s="6">
        <v>0.21260000000000001</v>
      </c>
      <c r="F391" s="6">
        <v>0.21240000000000001</v>
      </c>
      <c r="G391" s="6">
        <v>0.19550000000000001</v>
      </c>
    </row>
    <row r="392" spans="3:7">
      <c r="C392" t="s">
        <v>55</v>
      </c>
      <c r="D392" s="6">
        <v>6.7799999999999999E-2</v>
      </c>
      <c r="E392" s="6">
        <v>3.1099999999999999E-2</v>
      </c>
      <c r="F392" s="6">
        <v>1.44E-2</v>
      </c>
      <c r="G392" s="6">
        <v>5.4000000000000003E-3</v>
      </c>
    </row>
    <row r="393" spans="3:7">
      <c r="C393" t="s">
        <v>69</v>
      </c>
      <c r="D393" s="6">
        <v>0.10979999999999999</v>
      </c>
      <c r="E393" s="6">
        <v>4.3200000000000002E-2</v>
      </c>
      <c r="F393" s="6">
        <v>6.1699999999999998E-2</v>
      </c>
      <c r="G393" s="6">
        <v>3.6600000000000001E-2</v>
      </c>
    </row>
    <row r="394" spans="3:7">
      <c r="C394" t="s">
        <v>337</v>
      </c>
      <c r="D394" s="6">
        <v>2.8E-3</v>
      </c>
      <c r="E394" s="6">
        <v>2.8999999999999998E-3</v>
      </c>
      <c r="F394" s="6">
        <v>8.8000000000000005E-3</v>
      </c>
      <c r="G394" s="6">
        <v>1.12E-2</v>
      </c>
    </row>
    <row r="395" spans="3:7">
      <c r="C395" t="s">
        <v>11</v>
      </c>
      <c r="D395" s="6">
        <v>5.0099999999999999E-2</v>
      </c>
      <c r="E395" s="6">
        <v>3.5299999999999998E-2</v>
      </c>
      <c r="F395" s="6">
        <v>2.1499999999999998E-2</v>
      </c>
      <c r="G395" s="6">
        <v>3.0000000000000001E-3</v>
      </c>
    </row>
    <row r="396" spans="3:7">
      <c r="C396" t="s">
        <v>263</v>
      </c>
      <c r="D396" s="6">
        <v>5.28E-2</v>
      </c>
      <c r="E396" s="6">
        <v>6.4600000000000005E-2</v>
      </c>
      <c r="F396" s="6">
        <v>7.8399999999999997E-2</v>
      </c>
      <c r="G396" s="6">
        <v>2.69E-2</v>
      </c>
    </row>
    <row r="397" spans="3:7">
      <c r="C397" t="s">
        <v>373</v>
      </c>
      <c r="D397" s="6">
        <v>4.1000000000000003E-3</v>
      </c>
      <c r="E397" s="6">
        <v>2.12E-2</v>
      </c>
      <c r="F397" s="6">
        <v>5.7200000000000001E-2</v>
      </c>
      <c r="G397" s="6">
        <v>0.1139</v>
      </c>
    </row>
    <row r="398" spans="3:7">
      <c r="C398" t="s">
        <v>425</v>
      </c>
      <c r="D398" s="6">
        <v>8.2000000000000003E-2</v>
      </c>
      <c r="E398" s="6">
        <v>9.2499999999999999E-2</v>
      </c>
      <c r="F398" s="6">
        <v>0.1026</v>
      </c>
      <c r="G398" s="6">
        <v>0.17510000000000001</v>
      </c>
    </row>
    <row r="399" spans="3:7">
      <c r="C399" t="s">
        <v>92</v>
      </c>
      <c r="D399" s="6">
        <v>2.7000000000000001E-3</v>
      </c>
      <c r="E399" s="6">
        <v>-9.1300000000000006E-2</v>
      </c>
      <c r="F399" s="6">
        <v>-8.2199999999999995E-2</v>
      </c>
      <c r="G399" s="6">
        <v>-0.15329999999999999</v>
      </c>
    </row>
    <row r="400" spans="3:7">
      <c r="C400" t="s">
        <v>150</v>
      </c>
      <c r="D400" s="6">
        <v>2.3900000000000001E-2</v>
      </c>
      <c r="E400" s="6">
        <v>1.5800000000000002E-2</v>
      </c>
      <c r="F400" s="6">
        <v>2.0999999999999999E-3</v>
      </c>
      <c r="G400" s="6">
        <v>-4.3900000000000002E-2</v>
      </c>
    </row>
    <row r="401" spans="3:7">
      <c r="C401" t="s">
        <v>306</v>
      </c>
      <c r="D401" s="6">
        <v>0.1038</v>
      </c>
      <c r="E401" s="6">
        <v>4.4200000000000003E-2</v>
      </c>
      <c r="F401" s="6">
        <v>2.1100000000000001E-2</v>
      </c>
      <c r="G401" s="6">
        <v>3.15E-2</v>
      </c>
    </row>
    <row r="402" spans="3:7">
      <c r="C402" t="s">
        <v>333</v>
      </c>
      <c r="D402" s="6">
        <v>-1.6799999999999999E-2</v>
      </c>
      <c r="E402" s="6">
        <v>2.5999999999999999E-3</v>
      </c>
      <c r="F402" s="6">
        <v>-0.18079999999999999</v>
      </c>
      <c r="G402" s="6">
        <v>-0.18079999999999999</v>
      </c>
    </row>
    <row r="403" spans="3:7">
      <c r="C403" t="s">
        <v>837</v>
      </c>
      <c r="D403" s="6">
        <v>-9.0700000000000003E-2</v>
      </c>
      <c r="E403" s="6">
        <v>-0.1288</v>
      </c>
      <c r="F403" s="6">
        <v>-0.14399999999999999</v>
      </c>
      <c r="G403" s="6">
        <v>-8.2799999999999999E-2</v>
      </c>
    </row>
    <row r="404" spans="3:7">
      <c r="C404" t="s">
        <v>21</v>
      </c>
      <c r="D404" s="6">
        <v>-9.0200000000000002E-2</v>
      </c>
      <c r="E404" s="6">
        <v>1.46E-2</v>
      </c>
      <c r="F404" s="6">
        <v>-3.5299999999999998E-2</v>
      </c>
      <c r="G404" s="6">
        <v>-0.1045</v>
      </c>
    </row>
    <row r="405" spans="3:7">
      <c r="C405" t="s">
        <v>54</v>
      </c>
      <c r="D405" s="6">
        <v>3.9699999999999999E-2</v>
      </c>
      <c r="E405" s="6">
        <v>3.7699999999999997E-2</v>
      </c>
      <c r="F405" s="6">
        <v>2.1299999999999999E-2</v>
      </c>
      <c r="G405" s="6">
        <v>1.38E-2</v>
      </c>
    </row>
    <row r="406" spans="3:7">
      <c r="C406" t="s">
        <v>186</v>
      </c>
      <c r="D406" s="6">
        <v>-1.5299999999999999E-2</v>
      </c>
      <c r="E406" s="6">
        <v>-3.85E-2</v>
      </c>
      <c r="F406" s="6">
        <v>-4.3200000000000002E-2</v>
      </c>
      <c r="G406" s="6">
        <v>2.6100000000000002E-2</v>
      </c>
    </row>
    <row r="407" spans="3:7">
      <c r="C407" t="s">
        <v>390</v>
      </c>
      <c r="D407" s="6">
        <v>2.2499999999999999E-2</v>
      </c>
      <c r="E407" s="6">
        <v>2.4899999999999999E-2</v>
      </c>
      <c r="F407" s="6">
        <v>-0.1008</v>
      </c>
      <c r="G407" s="6">
        <v>0.02</v>
      </c>
    </row>
    <row r="408" spans="3:7">
      <c r="C408" t="s">
        <v>330</v>
      </c>
      <c r="D408" s="6">
        <v>-1.34E-2</v>
      </c>
      <c r="E408" s="6">
        <v>4.9700000000000001E-2</v>
      </c>
      <c r="F408" s="6">
        <v>0.1031</v>
      </c>
      <c r="G408" s="6">
        <v>6.6299999999999998E-2</v>
      </c>
    </row>
    <row r="409" spans="3:7">
      <c r="C409" t="s">
        <v>246</v>
      </c>
      <c r="D409" s="6">
        <v>5.4000000000000003E-3</v>
      </c>
      <c r="E409" s="6">
        <v>-0.1477</v>
      </c>
      <c r="F409" s="6">
        <v>1.17E-2</v>
      </c>
      <c r="G409" s="6">
        <v>3.4200000000000001E-2</v>
      </c>
    </row>
    <row r="410" spans="3:7">
      <c r="C410" t="s">
        <v>0</v>
      </c>
      <c r="D410" s="6">
        <v>6.8599999999999994E-2</v>
      </c>
      <c r="E410" s="6">
        <v>6.3600000000000004E-2</v>
      </c>
      <c r="F410" s="6">
        <v>6.6100000000000006E-2</v>
      </c>
      <c r="G410" s="6">
        <v>0.06</v>
      </c>
    </row>
    <row r="411" spans="3:7">
      <c r="C411" t="s">
        <v>354</v>
      </c>
      <c r="D411" s="6">
        <v>4.0000000000000001E-3</v>
      </c>
      <c r="E411" s="6">
        <v>2.7000000000000001E-3</v>
      </c>
      <c r="F411" s="6">
        <v>5.1000000000000004E-3</v>
      </c>
      <c r="G411" s="6">
        <v>5.4000000000000003E-3</v>
      </c>
    </row>
    <row r="412" spans="3:7">
      <c r="C412" t="s">
        <v>834</v>
      </c>
      <c r="D412" s="6">
        <v>-9.3600000000000003E-2</v>
      </c>
      <c r="E412" s="6">
        <v>-0.1835</v>
      </c>
      <c r="F412" s="6">
        <v>-4.1799999999999997E-2</v>
      </c>
      <c r="G412" s="6">
        <v>-1.9599999999999999E-2</v>
      </c>
    </row>
    <row r="413" spans="3:7">
      <c r="C413" t="s">
        <v>503</v>
      </c>
      <c r="D413" s="6">
        <v>1.5100000000000001E-2</v>
      </c>
      <c r="E413" s="6">
        <v>1.55E-2</v>
      </c>
      <c r="F413" s="6">
        <v>1.8E-3</v>
      </c>
      <c r="G413" s="6">
        <v>-1.6999999999999999E-3</v>
      </c>
    </row>
    <row r="414" spans="3:7">
      <c r="C414" t="s">
        <v>243</v>
      </c>
      <c r="D414" s="6">
        <v>2.0922999999999998</v>
      </c>
      <c r="E414" s="6">
        <v>-0.27750000000000002</v>
      </c>
      <c r="F414" s="6">
        <v>-0.1036</v>
      </c>
      <c r="G414" s="6">
        <v>2.6100000000000002E-2</v>
      </c>
    </row>
    <row r="415" spans="3:7">
      <c r="C415" t="s">
        <v>146</v>
      </c>
      <c r="D415" s="6">
        <v>4.4000000000000003E-3</v>
      </c>
      <c r="E415" s="6">
        <v>1.55E-2</v>
      </c>
      <c r="F415" s="6">
        <v>3.56E-2</v>
      </c>
      <c r="G415" s="6">
        <v>-8.9700000000000002E-2</v>
      </c>
    </row>
    <row r="416" spans="3:7">
      <c r="C416" t="s">
        <v>168</v>
      </c>
      <c r="D416" s="6">
        <v>3.4700000000000002E-2</v>
      </c>
      <c r="E416" s="6">
        <v>1.4500000000000001E-2</v>
      </c>
      <c r="F416" s="6">
        <v>2.9499999999999998E-2</v>
      </c>
      <c r="G416" s="6">
        <v>4.82E-2</v>
      </c>
    </row>
    <row r="417" spans="3:7">
      <c r="C417" t="s">
        <v>257</v>
      </c>
      <c r="D417" s="6">
        <v>0.36609999999999998</v>
      </c>
      <c r="E417" s="6">
        <v>0.1047</v>
      </c>
      <c r="F417" s="6">
        <v>8.7499999999999994E-2</v>
      </c>
      <c r="G417" s="6">
        <v>8.6300000000000002E-2</v>
      </c>
    </row>
    <row r="418" spans="3:7">
      <c r="C418" t="s">
        <v>405</v>
      </c>
      <c r="D418" s="6">
        <v>6.2199999999999998E-2</v>
      </c>
      <c r="E418" s="6">
        <v>1.5100000000000001E-2</v>
      </c>
      <c r="F418" s="6">
        <v>2.3900000000000001E-2</v>
      </c>
      <c r="G418" s="6">
        <v>2.3900000000000001E-2</v>
      </c>
    </row>
    <row r="419" spans="3:7">
      <c r="C419" t="s">
        <v>101</v>
      </c>
      <c r="D419" s="6">
        <v>1.5800000000000002E-2</v>
      </c>
      <c r="E419" s="6">
        <v>1.7000000000000001E-2</v>
      </c>
      <c r="F419" s="6">
        <v>0.02</v>
      </c>
      <c r="G419" s="6">
        <v>2.1600000000000001E-2</v>
      </c>
    </row>
    <row r="420" spans="3:7">
      <c r="C420" t="s">
        <v>258</v>
      </c>
      <c r="D420" s="6">
        <v>-2.3E-2</v>
      </c>
      <c r="E420" s="6">
        <v>-3.78E-2</v>
      </c>
      <c r="F420" s="6">
        <v>1.9E-3</v>
      </c>
      <c r="G420" s="6">
        <v>-3.0200000000000001E-2</v>
      </c>
    </row>
    <row r="421" spans="3:7">
      <c r="C421" t="s">
        <v>199</v>
      </c>
      <c r="D421" s="6">
        <v>3.73E-2</v>
      </c>
      <c r="E421" s="6">
        <v>4.2599999999999999E-2</v>
      </c>
      <c r="F421" s="6">
        <v>3.6900000000000002E-2</v>
      </c>
      <c r="G421" s="6">
        <v>5.6300000000000003E-2</v>
      </c>
    </row>
    <row r="422" spans="3:7">
      <c r="C422" t="s">
        <v>361</v>
      </c>
      <c r="D422" s="6">
        <v>3.4200000000000001E-2</v>
      </c>
      <c r="E422" s="6">
        <v>7.8899999999999998E-2</v>
      </c>
      <c r="F422" s="6">
        <v>4.4900000000000002E-2</v>
      </c>
      <c r="G422" s="6">
        <v>8.4400000000000003E-2</v>
      </c>
    </row>
    <row r="423" spans="3:7">
      <c r="C423" t="s">
        <v>133</v>
      </c>
      <c r="D423" s="6">
        <v>5.6500000000000002E-2</v>
      </c>
      <c r="E423" s="6">
        <v>5.1499999999999997E-2</v>
      </c>
      <c r="F423" s="6">
        <v>5.9499999999999997E-2</v>
      </c>
      <c r="G423" s="6">
        <v>6.0699999999999997E-2</v>
      </c>
    </row>
    <row r="424" spans="3:7">
      <c r="C424" t="s">
        <v>250</v>
      </c>
      <c r="D424" s="6">
        <v>0.1613</v>
      </c>
      <c r="E424" s="6">
        <v>8.3299999999999999E-2</v>
      </c>
      <c r="F424" s="6">
        <v>6.4399999999999999E-2</v>
      </c>
      <c r="G424" s="6">
        <v>7.3599999999999999E-2</v>
      </c>
    </row>
    <row r="425" spans="3:7">
      <c r="C425" t="s">
        <v>806</v>
      </c>
      <c r="D425" s="6">
        <v>0.31979999999999997</v>
      </c>
      <c r="E425" s="6">
        <v>0.26090000000000002</v>
      </c>
      <c r="F425" s="6">
        <v>0.248</v>
      </c>
      <c r="G425" s="6">
        <v>0.1608</v>
      </c>
    </row>
    <row r="426" spans="3:7">
      <c r="C426" t="s">
        <v>498</v>
      </c>
      <c r="D426" s="6">
        <v>0.18010000000000001</v>
      </c>
      <c r="E426" s="6">
        <v>0.13350000000000001</v>
      </c>
      <c r="F426" s="6">
        <v>9.1600000000000001E-2</v>
      </c>
      <c r="G426" s="6">
        <v>7.7100000000000002E-2</v>
      </c>
    </row>
    <row r="427" spans="3:7">
      <c r="C427" t="s">
        <v>40</v>
      </c>
      <c r="D427" s="6">
        <v>9.1000000000000004E-3</v>
      </c>
      <c r="E427" s="6">
        <v>0.1469</v>
      </c>
      <c r="F427" s="6">
        <v>4.5999999999999999E-3</v>
      </c>
      <c r="G427" s="6">
        <v>1.1900000000000001E-2</v>
      </c>
    </row>
    <row r="428" spans="3:7">
      <c r="C428" t="s">
        <v>226</v>
      </c>
      <c r="D428" s="6">
        <v>6.7100000000000007E-2</v>
      </c>
      <c r="E428" s="6">
        <v>0.1032</v>
      </c>
      <c r="F428" s="6">
        <v>0.1211</v>
      </c>
      <c r="G428" s="6">
        <v>4.8399999999999999E-2</v>
      </c>
    </row>
    <row r="429" spans="3:7">
      <c r="C429" t="s">
        <v>172</v>
      </c>
      <c r="D429" s="6">
        <v>5.1999999999999998E-3</v>
      </c>
      <c r="E429" s="6">
        <v>4.3E-3</v>
      </c>
      <c r="F429" s="6">
        <v>1.0699999999999999E-2</v>
      </c>
      <c r="G429" s="6">
        <v>7.9000000000000008E-3</v>
      </c>
    </row>
    <row r="430" spans="3:7">
      <c r="C430" t="s">
        <v>833</v>
      </c>
      <c r="D430" s="6">
        <v>-0.1041</v>
      </c>
      <c r="E430" s="6">
        <v>-0.42409999999999998</v>
      </c>
      <c r="F430" s="6">
        <v>-0.67359999999999998</v>
      </c>
      <c r="G430" s="6">
        <v>1.66E-2</v>
      </c>
    </row>
    <row r="431" spans="3:7">
      <c r="C431" t="s">
        <v>294</v>
      </c>
      <c r="D431" s="6">
        <v>1.03E-2</v>
      </c>
      <c r="E431" s="6">
        <v>7.0300000000000001E-2</v>
      </c>
      <c r="F431" s="6">
        <v>8.8900000000000007E-2</v>
      </c>
      <c r="G431" s="6">
        <v>4.6699999999999998E-2</v>
      </c>
    </row>
    <row r="432" spans="3:7">
      <c r="C432" t="s">
        <v>807</v>
      </c>
      <c r="D432" s="6">
        <v>0.1119</v>
      </c>
      <c r="E432" s="6">
        <v>0.1171</v>
      </c>
      <c r="F432" s="6">
        <v>8.9099999999999999E-2</v>
      </c>
      <c r="G432" s="6">
        <v>8.7300000000000003E-2</v>
      </c>
    </row>
    <row r="433" spans="3:7">
      <c r="C433" t="s">
        <v>60</v>
      </c>
      <c r="D433" s="6">
        <v>0.1074</v>
      </c>
      <c r="E433" s="6">
        <v>1.95E-2</v>
      </c>
      <c r="F433" s="6">
        <v>1.2E-2</v>
      </c>
      <c r="G433" s="6">
        <v>3.0499999999999999E-2</v>
      </c>
    </row>
    <row r="434" spans="3:7">
      <c r="C434" t="s">
        <v>253</v>
      </c>
      <c r="D434" s="6">
        <v>5.5500000000000001E-2</v>
      </c>
      <c r="E434" s="6">
        <v>5.1499999999999997E-2</v>
      </c>
      <c r="F434" s="6">
        <v>3.5900000000000001E-2</v>
      </c>
      <c r="G434" s="6">
        <v>3.44E-2</v>
      </c>
    </row>
    <row r="435" spans="3:7">
      <c r="C435" t="s">
        <v>830</v>
      </c>
      <c r="D435" s="6">
        <v>-3.95E-2</v>
      </c>
      <c r="E435" s="6">
        <v>-4.0000000000000002E-4</v>
      </c>
      <c r="F435" s="6">
        <v>6.8999999999999999E-3</v>
      </c>
      <c r="G435" s="6">
        <v>2.5999999999999999E-3</v>
      </c>
    </row>
    <row r="436" spans="3:7">
      <c r="C436" t="s">
        <v>189</v>
      </c>
      <c r="D436" s="6">
        <v>8.3299999999999999E-2</v>
      </c>
      <c r="E436" s="6">
        <v>7.7600000000000002E-2</v>
      </c>
      <c r="F436" s="6">
        <v>6.6900000000000001E-2</v>
      </c>
      <c r="G436" s="6">
        <v>6.8199999999999997E-2</v>
      </c>
    </row>
    <row r="437" spans="3:7">
      <c r="C437" t="s">
        <v>326</v>
      </c>
      <c r="D437" s="6">
        <v>1.95E-2</v>
      </c>
      <c r="E437" s="6">
        <v>0.01</v>
      </c>
      <c r="F437" s="6">
        <v>-1.5E-3</v>
      </c>
      <c r="G437" s="6">
        <v>-1.66E-2</v>
      </c>
    </row>
    <row r="438" spans="3:7">
      <c r="C438" t="s">
        <v>287</v>
      </c>
      <c r="D438" s="6">
        <v>7.4800000000000005E-2</v>
      </c>
      <c r="E438" s="6">
        <v>8.7099999999999997E-2</v>
      </c>
      <c r="F438" s="6">
        <v>9.6600000000000005E-2</v>
      </c>
      <c r="G438" s="6">
        <v>0.13220000000000001</v>
      </c>
    </row>
    <row r="439" spans="3:7">
      <c r="C439" t="s">
        <v>51</v>
      </c>
      <c r="D439" s="6">
        <v>2.6800000000000001E-2</v>
      </c>
      <c r="E439" s="6">
        <v>4.6899999999999997E-2</v>
      </c>
      <c r="F439" s="6">
        <v>9.7999999999999997E-3</v>
      </c>
      <c r="G439" s="6">
        <v>-3.44E-2</v>
      </c>
    </row>
    <row r="440" spans="3:7">
      <c r="C440" t="s">
        <v>836</v>
      </c>
      <c r="D440" s="6">
        <v>6.0999999999999999E-2</v>
      </c>
      <c r="E440" s="6">
        <v>4.9200000000000001E-2</v>
      </c>
      <c r="F440" s="6">
        <v>5.1900000000000002E-2</v>
      </c>
      <c r="G440" s="6">
        <v>-0.98580000000000001</v>
      </c>
    </row>
    <row r="441" spans="3:7">
      <c r="C441" t="s">
        <v>327</v>
      </c>
      <c r="D441" s="6">
        <v>5.4000000000000003E-3</v>
      </c>
      <c r="E441" s="6">
        <v>-3.0099999999999998E-2</v>
      </c>
      <c r="F441" s="6">
        <v>2.5999999999999999E-3</v>
      </c>
      <c r="G441" s="6">
        <v>3.7000000000000002E-3</v>
      </c>
    </row>
    <row r="442" spans="3:7">
      <c r="C442" t="s">
        <v>141</v>
      </c>
      <c r="D442" s="6">
        <v>3.6700000000000003E-2</v>
      </c>
      <c r="E442" s="6">
        <v>1.1999999999999999E-3</v>
      </c>
      <c r="F442" s="6">
        <v>-4.0899999999999999E-2</v>
      </c>
      <c r="G442" s="6">
        <v>-5.6899999999999999E-2</v>
      </c>
    </row>
    <row r="443" spans="3:7">
      <c r="C443" t="s">
        <v>249</v>
      </c>
      <c r="D443" s="6">
        <v>0.1114</v>
      </c>
      <c r="E443" s="6">
        <v>8.3799999999999999E-2</v>
      </c>
      <c r="F443" s="6">
        <v>1.0500000000000001E-2</v>
      </c>
      <c r="G443" s="6">
        <v>-4.36E-2</v>
      </c>
    </row>
    <row r="444" spans="3:7">
      <c r="C444" t="s">
        <v>147</v>
      </c>
      <c r="D444" s="6">
        <v>7.6899999999999996E-2</v>
      </c>
      <c r="E444" s="6">
        <v>7.9000000000000001E-2</v>
      </c>
      <c r="F444" s="6">
        <v>6.4500000000000002E-2</v>
      </c>
      <c r="G444" s="6">
        <v>5.6800000000000003E-2</v>
      </c>
    </row>
    <row r="445" spans="3:7">
      <c r="C445" t="s">
        <v>472</v>
      </c>
      <c r="D445" s="6">
        <v>7.1199999999999999E-2</v>
      </c>
      <c r="E445" s="6">
        <v>6.2899999999999998E-2</v>
      </c>
      <c r="F445" s="6">
        <v>8.6E-3</v>
      </c>
      <c r="G445" s="6">
        <v>-6.3E-2</v>
      </c>
    </row>
    <row r="446" spans="3:7">
      <c r="C446" t="s">
        <v>53</v>
      </c>
      <c r="D446" s="6">
        <v>3.0800000000000001E-2</v>
      </c>
      <c r="E446" s="6">
        <v>9.4100000000000003E-2</v>
      </c>
      <c r="F446" s="6">
        <v>2.4899999999999999E-2</v>
      </c>
      <c r="G446" s="6">
        <v>2.7300000000000001E-2</v>
      </c>
    </row>
    <row r="447" spans="3:7">
      <c r="C447" t="s">
        <v>318</v>
      </c>
      <c r="D447" s="6">
        <v>-6.4500000000000002E-2</v>
      </c>
      <c r="E447" s="6">
        <v>-4.3E-3</v>
      </c>
      <c r="F447" s="6">
        <v>3.0200000000000001E-2</v>
      </c>
      <c r="G447" s="6">
        <v>3.0200000000000001E-2</v>
      </c>
    </row>
    <row r="448" spans="3:7">
      <c r="C448" t="s">
        <v>296</v>
      </c>
      <c r="D448" s="6">
        <v>1.1900000000000001E-2</v>
      </c>
      <c r="E448" s="6">
        <v>4.1500000000000002E-2</v>
      </c>
      <c r="F448" s="6">
        <v>6.7299999999999999E-2</v>
      </c>
      <c r="G448" s="6">
        <v>7.3899999999999993E-2</v>
      </c>
    </row>
    <row r="449" spans="3:7">
      <c r="C449" t="s">
        <v>349</v>
      </c>
      <c r="D449" s="6">
        <v>0.11600000000000001</v>
      </c>
      <c r="E449" s="6">
        <v>7.17E-2</v>
      </c>
      <c r="F449" s="6">
        <v>0.10390000000000001</v>
      </c>
      <c r="G449" s="6">
        <v>9.0300000000000005E-2</v>
      </c>
    </row>
    <row r="450" spans="3:7">
      <c r="C450" t="s">
        <v>300</v>
      </c>
      <c r="D450" s="6">
        <v>-2.2499999999999999E-2</v>
      </c>
      <c r="E450" s="6">
        <v>-5.4899999999999997E-2</v>
      </c>
      <c r="F450" s="6">
        <v>-2.9600000000000001E-2</v>
      </c>
      <c r="G450" s="6">
        <v>-6.7000000000000002E-3</v>
      </c>
    </row>
    <row r="451" spans="3:7">
      <c r="C451" t="s">
        <v>316</v>
      </c>
      <c r="D451" s="6">
        <v>1.0200000000000001E-2</v>
      </c>
      <c r="E451" s="6">
        <v>1.15E-2</v>
      </c>
      <c r="F451" s="6">
        <v>1.6899999999999998E-2</v>
      </c>
      <c r="G451" s="6">
        <v>1.06E-2</v>
      </c>
    </row>
    <row r="452" spans="3:7">
      <c r="C452" t="s">
        <v>502</v>
      </c>
      <c r="D452" s="6">
        <v>2.1600000000000001E-2</v>
      </c>
      <c r="E452" s="6">
        <v>3.2399999999999998E-2</v>
      </c>
      <c r="F452" s="6">
        <v>4.7699999999999999E-2</v>
      </c>
      <c r="G452" s="6">
        <v>4.7300000000000002E-2</v>
      </c>
    </row>
    <row r="453" spans="3:7">
      <c r="C453" t="s">
        <v>359</v>
      </c>
      <c r="D453" s="6">
        <v>3.2099999999999997E-2</v>
      </c>
      <c r="E453" s="6">
        <v>4.3099999999999999E-2</v>
      </c>
      <c r="F453" s="6">
        <v>4.3900000000000002E-2</v>
      </c>
      <c r="G453" s="6">
        <v>4.1000000000000003E-3</v>
      </c>
    </row>
    <row r="454" spans="3:7">
      <c r="C454" t="s">
        <v>355</v>
      </c>
      <c r="D454" s="6">
        <v>3.6700000000000003E-2</v>
      </c>
      <c r="E454" s="6">
        <v>0.12870000000000001</v>
      </c>
      <c r="F454" s="6">
        <v>7.7100000000000002E-2</v>
      </c>
      <c r="G454" s="6">
        <v>4.7399999999999998E-2</v>
      </c>
    </row>
    <row r="455" spans="3:7">
      <c r="C455" t="s">
        <v>107</v>
      </c>
      <c r="D455" s="6">
        <v>9.1999999999999998E-3</v>
      </c>
      <c r="E455" s="6">
        <v>2.5000000000000001E-3</v>
      </c>
      <c r="F455" s="6">
        <v>7.0000000000000001E-3</v>
      </c>
      <c r="G455" s="6">
        <v>6.9999999999999999E-4</v>
      </c>
    </row>
    <row r="456" spans="3:7">
      <c r="C456" t="s">
        <v>486</v>
      </c>
      <c r="D456" s="6">
        <v>1.9199999999999998E-2</v>
      </c>
      <c r="E456" s="6">
        <v>3.1E-2</v>
      </c>
      <c r="F456" s="6">
        <v>4.0800000000000003E-2</v>
      </c>
      <c r="G456" s="6">
        <v>3.6299999999999999E-2</v>
      </c>
    </row>
    <row r="457" spans="3:7">
      <c r="C457" t="s">
        <v>395</v>
      </c>
      <c r="D457" s="6">
        <v>-4.7E-2</v>
      </c>
      <c r="E457" s="6">
        <v>-7.0699999999999999E-2</v>
      </c>
      <c r="F457" s="6">
        <v>-2.1299999999999999E-2</v>
      </c>
      <c r="G457" s="6">
        <v>-1.9599999999999999E-2</v>
      </c>
    </row>
    <row r="458" spans="3:7">
      <c r="C458" t="s">
        <v>315</v>
      </c>
      <c r="D458" s="6">
        <v>4.58E-2</v>
      </c>
      <c r="E458" s="6">
        <v>2.3800000000000002E-2</v>
      </c>
      <c r="F458" s="6">
        <v>4.9799999999999997E-2</v>
      </c>
      <c r="G458" s="6">
        <v>2.1999999999999999E-2</v>
      </c>
    </row>
    <row r="459" spans="3:7">
      <c r="C459" t="s">
        <v>57</v>
      </c>
      <c r="D459" s="6">
        <v>5.6300000000000003E-2</v>
      </c>
      <c r="E459" s="6">
        <v>7.22E-2</v>
      </c>
      <c r="F459" s="6">
        <v>4.9399999999999999E-2</v>
      </c>
      <c r="G459" s="6">
        <v>3.9300000000000002E-2</v>
      </c>
    </row>
    <row r="460" spans="3:7">
      <c r="C460" t="s">
        <v>183</v>
      </c>
      <c r="D460" s="6">
        <v>0.1182</v>
      </c>
      <c r="E460" s="6">
        <v>9.0999999999999998E-2</v>
      </c>
      <c r="F460" s="6">
        <v>9.74E-2</v>
      </c>
      <c r="G460" s="6">
        <v>9.4500000000000001E-2</v>
      </c>
    </row>
    <row r="461" spans="3:7">
      <c r="C461" t="s">
        <v>175</v>
      </c>
      <c r="D461" s="6">
        <v>0.18060000000000001</v>
      </c>
      <c r="E461" s="6">
        <v>0.15040000000000001</v>
      </c>
      <c r="F461" s="6">
        <v>0.13</v>
      </c>
      <c r="G461" s="6">
        <v>0.16969999999999999</v>
      </c>
    </row>
    <row r="462" spans="3:7">
      <c r="C462" t="s">
        <v>274</v>
      </c>
      <c r="D462" s="6">
        <v>0.1017</v>
      </c>
      <c r="E462" s="6">
        <v>5.57E-2</v>
      </c>
      <c r="F462" s="6">
        <v>7.6999999999999999E-2</v>
      </c>
      <c r="G462" s="6">
        <v>5.3499999999999999E-2</v>
      </c>
    </row>
    <row r="463" spans="3:7">
      <c r="C463" t="s">
        <v>45</v>
      </c>
      <c r="D463" s="6">
        <v>0.39360000000000001</v>
      </c>
      <c r="E463" s="6">
        <v>0.39290000000000003</v>
      </c>
      <c r="F463" s="6">
        <v>0.46289999999999998</v>
      </c>
      <c r="G463" s="6">
        <v>0.36080000000000001</v>
      </c>
    </row>
    <row r="464" spans="3:7">
      <c r="C464" t="s">
        <v>104</v>
      </c>
      <c r="D464" s="6">
        <v>7.9600000000000004E-2</v>
      </c>
      <c r="E464" s="6">
        <v>0.1012</v>
      </c>
      <c r="F464" s="6">
        <v>0.11210000000000001</v>
      </c>
      <c r="G464" s="6">
        <v>9.9199999999999997E-2</v>
      </c>
    </row>
    <row r="465" spans="3:7">
      <c r="C465" t="s">
        <v>374</v>
      </c>
      <c r="D465" s="6">
        <v>1.3053999999999999</v>
      </c>
      <c r="E465" s="6">
        <v>1.7500000000000002E-2</v>
      </c>
      <c r="F465" s="6">
        <v>3.5000000000000003E-2</v>
      </c>
      <c r="G465" s="6">
        <v>9.4000000000000004E-3</v>
      </c>
    </row>
    <row r="466" spans="3:7">
      <c r="C466" t="s">
        <v>36</v>
      </c>
      <c r="D466" s="6">
        <v>8.0000000000000004E-4</v>
      </c>
      <c r="E466" s="6">
        <v>-6.8999999999999999E-3</v>
      </c>
      <c r="F466" s="6">
        <v>2.76E-2</v>
      </c>
      <c r="G466" s="6">
        <v>2.5899999999999999E-2</v>
      </c>
    </row>
    <row r="467" spans="3:7">
      <c r="C467" t="s">
        <v>819</v>
      </c>
      <c r="D467" s="6">
        <v>6.2700000000000006E-2</v>
      </c>
      <c r="E467" s="6">
        <v>2.0799999999999999E-2</v>
      </c>
      <c r="F467" s="6">
        <v>-0.13980000000000001</v>
      </c>
      <c r="G467" s="6">
        <v>-6.6400000000000001E-2</v>
      </c>
    </row>
    <row r="468" spans="3:7">
      <c r="C468" t="s">
        <v>391</v>
      </c>
      <c r="D468" s="6">
        <v>-1.06E-2</v>
      </c>
      <c r="E468" s="6">
        <v>-6.3E-3</v>
      </c>
      <c r="F468" s="6">
        <v>-3.8300000000000001E-2</v>
      </c>
      <c r="G468" s="6">
        <v>2.4799999999999999E-2</v>
      </c>
    </row>
    <row r="469" spans="3:7">
      <c r="C469" t="s">
        <v>323</v>
      </c>
      <c r="D469" s="6">
        <v>9.9900000000000003E-2</v>
      </c>
      <c r="E469" s="6">
        <v>8.7999999999999995E-2</v>
      </c>
      <c r="F469" s="6">
        <v>4.5900000000000003E-2</v>
      </c>
      <c r="G469" s="6">
        <v>7.5499999999999998E-2</v>
      </c>
    </row>
    <row r="470" spans="3:7">
      <c r="C470" t="s">
        <v>237</v>
      </c>
      <c r="D470" s="6">
        <v>-9.3399999999999997E-2</v>
      </c>
      <c r="E470" s="6">
        <v>6.7999999999999996E-3</v>
      </c>
      <c r="F470" s="6">
        <v>1.5900000000000001E-2</v>
      </c>
      <c r="G470" s="6">
        <v>-3.0300000000000001E-2</v>
      </c>
    </row>
    <row r="471" spans="3:7">
      <c r="C471" t="s">
        <v>18</v>
      </c>
      <c r="D471" s="6">
        <v>7.0300000000000001E-2</v>
      </c>
      <c r="E471" s="6">
        <v>6.9800000000000001E-2</v>
      </c>
      <c r="F471" s="6">
        <v>7.3200000000000001E-2</v>
      </c>
      <c r="G471" s="6">
        <v>5.1400000000000001E-2</v>
      </c>
    </row>
    <row r="472" spans="3:7">
      <c r="C472" t="s">
        <v>59</v>
      </c>
      <c r="D472" s="6">
        <v>3.73E-2</v>
      </c>
      <c r="E472" s="6">
        <v>4.87E-2</v>
      </c>
      <c r="F472" s="6">
        <v>3.5700000000000003E-2</v>
      </c>
      <c r="G472" s="6">
        <v>7.6E-3</v>
      </c>
    </row>
    <row r="473" spans="3:7">
      <c r="C473" t="s">
        <v>91</v>
      </c>
      <c r="D473" s="6">
        <v>-7.5800000000000006E-2</v>
      </c>
      <c r="E473" s="6">
        <v>0.16009999999999999</v>
      </c>
      <c r="F473" s="6">
        <v>3.2000000000000002E-3</v>
      </c>
      <c r="G473" s="6">
        <v>1.2999999999999999E-2</v>
      </c>
    </row>
    <row r="474" spans="3:7">
      <c r="C474" t="s">
        <v>194</v>
      </c>
      <c r="D474" s="6">
        <v>1.47E-2</v>
      </c>
      <c r="E474" s="6">
        <v>0.52790000000000004</v>
      </c>
      <c r="F474" s="6">
        <v>-5.3100000000000001E-2</v>
      </c>
      <c r="G474" s="6">
        <v>-5.0999999999999997E-2</v>
      </c>
    </row>
    <row r="475" spans="3:7">
      <c r="C475" t="s">
        <v>490</v>
      </c>
      <c r="D475" s="6">
        <v>8.48E-2</v>
      </c>
      <c r="E475" s="6">
        <v>8.8900000000000007E-2</v>
      </c>
      <c r="F475" s="6">
        <v>8.4599999999999995E-2</v>
      </c>
      <c r="G475" s="6">
        <v>7.4700000000000003E-2</v>
      </c>
    </row>
    <row r="476" spans="3:7">
      <c r="C476" t="s">
        <v>89</v>
      </c>
      <c r="D476" s="6">
        <v>5.9799999999999999E-2</v>
      </c>
      <c r="E476" s="6">
        <v>5.7500000000000002E-2</v>
      </c>
      <c r="F476" s="6">
        <v>6.0999999999999999E-2</v>
      </c>
      <c r="G476" s="6">
        <v>5.33E-2</v>
      </c>
    </row>
    <row r="477" spans="3:7">
      <c r="C477" t="s">
        <v>41</v>
      </c>
      <c r="D477" s="6">
        <v>4.1599999999999998E-2</v>
      </c>
      <c r="E477" s="6">
        <v>3.1199999999999999E-2</v>
      </c>
      <c r="F477" s="6">
        <v>3.3000000000000002E-2</v>
      </c>
      <c r="G477" s="6">
        <v>3.7699999999999997E-2</v>
      </c>
    </row>
    <row r="478" spans="3:7">
      <c r="C478" t="s">
        <v>169</v>
      </c>
      <c r="D478" s="6">
        <v>0.17150000000000001</v>
      </c>
      <c r="E478" s="6">
        <v>7.6200000000000004E-2</v>
      </c>
      <c r="F478" s="6">
        <v>7.2300000000000003E-2</v>
      </c>
      <c r="G478" s="6">
        <v>0.16819999999999999</v>
      </c>
    </row>
    <row r="479" spans="3:7">
      <c r="C479" t="s">
        <v>217</v>
      </c>
      <c r="D479" s="6">
        <v>0.1133</v>
      </c>
      <c r="E479" s="6">
        <v>-0.89880000000000004</v>
      </c>
      <c r="F479" s="6">
        <v>-0.89880000000000004</v>
      </c>
      <c r="G479" s="6">
        <v>-1.0731999999999999</v>
      </c>
    </row>
    <row r="480" spans="3:7">
      <c r="C480" t="s">
        <v>131</v>
      </c>
      <c r="D480" s="6">
        <v>-3.7900000000000003E-2</v>
      </c>
      <c r="E480" s="6">
        <v>-7.3300000000000004E-2</v>
      </c>
      <c r="F480" s="6">
        <v>-8.2900000000000001E-2</v>
      </c>
      <c r="G480" s="6">
        <v>-5.0999999999999997E-2</v>
      </c>
    </row>
    <row r="481" spans="3:7">
      <c r="C481" t="s">
        <v>245</v>
      </c>
      <c r="D481" s="6">
        <v>7.8700000000000006E-2</v>
      </c>
      <c r="E481" s="6">
        <v>3.1399999999999997E-2</v>
      </c>
      <c r="F481" s="6">
        <v>4.1200000000000001E-2</v>
      </c>
      <c r="G481" s="6">
        <v>2.1299999999999999E-2</v>
      </c>
    </row>
    <row r="482" spans="3:7">
      <c r="C482" t="s">
        <v>814</v>
      </c>
      <c r="D482" s="6">
        <v>6.6E-3</v>
      </c>
      <c r="E482" s="6">
        <v>6.7000000000000002E-3</v>
      </c>
      <c r="F482" s="6">
        <v>-5.79E-2</v>
      </c>
      <c r="G482" s="6">
        <v>1.18E-2</v>
      </c>
    </row>
    <row r="483" spans="3:7">
      <c r="C483" t="s">
        <v>321</v>
      </c>
      <c r="D483" s="6">
        <v>-3.9100000000000003E-2</v>
      </c>
      <c r="E483" s="6">
        <v>-4.9700000000000001E-2</v>
      </c>
      <c r="F483" s="6">
        <v>-2.8500000000000001E-2</v>
      </c>
      <c r="G483" s="6">
        <v>1.15E-2</v>
      </c>
    </row>
    <row r="484" spans="3:7">
      <c r="C484" t="s">
        <v>238</v>
      </c>
      <c r="D484" s="6">
        <v>-0.78049999999999997</v>
      </c>
      <c r="E484" s="6">
        <v>4.7699999999999999E-2</v>
      </c>
      <c r="F484" s="6">
        <v>-8.77E-2</v>
      </c>
      <c r="G484" s="6">
        <v>-0.1845</v>
      </c>
    </row>
  </sheetData>
  <sortState ref="C7:G484">
    <sortCondition ref="C7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0"/>
  <sheetViews>
    <sheetView topLeftCell="A344" workbookViewId="0">
      <selection activeCell="C243" sqref="C243"/>
    </sheetView>
  </sheetViews>
  <sheetFormatPr defaultRowHeight="15"/>
  <cols>
    <col min="2" max="2" width="37.7109375" bestFit="1" customWidth="1"/>
  </cols>
  <sheetData>
    <row r="5" spans="2:6">
      <c r="C5">
        <v>2017</v>
      </c>
      <c r="D5">
        <v>2018</v>
      </c>
      <c r="E5">
        <v>2019</v>
      </c>
      <c r="F5">
        <v>2020</v>
      </c>
    </row>
    <row r="6" spans="2:6">
      <c r="B6" t="s">
        <v>409</v>
      </c>
      <c r="C6" s="6">
        <v>-4.1799999999999997E-2</v>
      </c>
      <c r="D6" s="6">
        <v>-4.3299999999999998E-2</v>
      </c>
      <c r="E6" s="6">
        <v>5.4000000000000003E-3</v>
      </c>
      <c r="F6" s="6">
        <v>-2.76E-2</v>
      </c>
    </row>
    <row r="7" spans="2:6">
      <c r="B7" t="s">
        <v>23</v>
      </c>
      <c r="C7" s="6">
        <v>0.15939999999999999</v>
      </c>
      <c r="D7" s="6">
        <v>0.13250000000000001</v>
      </c>
      <c r="E7" s="6">
        <v>0.1346</v>
      </c>
      <c r="F7" s="6">
        <v>0.12640000000000001</v>
      </c>
    </row>
    <row r="8" spans="2:6">
      <c r="B8" t="s">
        <v>137</v>
      </c>
      <c r="C8" s="6">
        <v>0.3468</v>
      </c>
      <c r="D8" s="6">
        <v>0.372</v>
      </c>
      <c r="E8" s="6">
        <v>0.31519999999999998</v>
      </c>
      <c r="F8" s="6">
        <v>0.26079999999999998</v>
      </c>
    </row>
    <row r="9" spans="2:6">
      <c r="B9" t="s">
        <v>25</v>
      </c>
      <c r="C9" s="6">
        <v>-8.48E-2</v>
      </c>
      <c r="D9" s="6">
        <v>-1.34E-2</v>
      </c>
      <c r="E9" s="6">
        <v>3.2300000000000002E-2</v>
      </c>
      <c r="F9" s="6">
        <v>2.0899999999999998E-2</v>
      </c>
    </row>
    <row r="10" spans="2:6">
      <c r="B10" t="s">
        <v>48</v>
      </c>
      <c r="C10" s="6">
        <v>0.11409999999999999</v>
      </c>
      <c r="D10" s="6">
        <v>0.16020000000000001</v>
      </c>
      <c r="E10" s="6">
        <v>0.10979999999999999</v>
      </c>
      <c r="F10" s="6">
        <v>0.1288</v>
      </c>
    </row>
    <row r="11" spans="2:6">
      <c r="B11" t="s">
        <v>111</v>
      </c>
      <c r="C11" s="6">
        <v>0.2301</v>
      </c>
      <c r="D11" s="6">
        <v>0.16550000000000001</v>
      </c>
      <c r="E11" s="6">
        <v>0.12970000000000001</v>
      </c>
      <c r="F11" s="6">
        <v>0.156</v>
      </c>
    </row>
    <row r="12" spans="2:6">
      <c r="B12" t="s">
        <v>63</v>
      </c>
      <c r="C12" s="6">
        <v>9.7100000000000006E-2</v>
      </c>
      <c r="D12" s="6">
        <v>8.6300000000000002E-2</v>
      </c>
      <c r="E12" s="6">
        <v>2.0299999999999999E-2</v>
      </c>
      <c r="F12" s="6">
        <v>-4.5199999999999997E-2</v>
      </c>
    </row>
    <row r="13" spans="2:6">
      <c r="B13" t="s">
        <v>19</v>
      </c>
      <c r="C13" s="6">
        <v>95.298900000000003</v>
      </c>
      <c r="D13" s="6">
        <v>95.377799999999993</v>
      </c>
      <c r="E13" s="6">
        <v>-0.1152</v>
      </c>
      <c r="F13" s="6">
        <v>-3.4000000000000002E-2</v>
      </c>
    </row>
    <row r="14" spans="2:6">
      <c r="B14" t="s">
        <v>408</v>
      </c>
      <c r="C14" s="6">
        <v>0.97440000000000004</v>
      </c>
      <c r="D14" s="6">
        <v>7.1513</v>
      </c>
      <c r="E14" s="6">
        <v>6.6651999999999996</v>
      </c>
      <c r="F14" s="6">
        <v>6.8105000000000002</v>
      </c>
    </row>
    <row r="15" spans="2:6">
      <c r="B15" t="s">
        <v>239</v>
      </c>
      <c r="C15" s="6">
        <v>0.25609999999999999</v>
      </c>
      <c r="D15" s="6">
        <v>0.1212</v>
      </c>
      <c r="E15" s="6">
        <v>0.1079</v>
      </c>
      <c r="F15" s="6">
        <v>8.5000000000000006E-2</v>
      </c>
    </row>
    <row r="16" spans="2:6">
      <c r="B16" t="s">
        <v>66</v>
      </c>
      <c r="C16" s="6">
        <v>-3.2300000000000002E-2</v>
      </c>
      <c r="D16" s="6">
        <v>-2.24E-2</v>
      </c>
      <c r="E16" s="6">
        <v>2.9000000000000001E-2</v>
      </c>
      <c r="F16" s="6">
        <v>1.2200000000000001E-2</v>
      </c>
    </row>
    <row r="17" spans="2:6">
      <c r="B17" t="s">
        <v>264</v>
      </c>
      <c r="C17" s="6">
        <v>8.7499999999999994E-2</v>
      </c>
      <c r="D17" s="6">
        <v>4.6399999999999997E-2</v>
      </c>
      <c r="E17" s="6">
        <v>-1.9E-2</v>
      </c>
      <c r="F17" s="6">
        <v>-8.2699999999999996E-2</v>
      </c>
    </row>
    <row r="18" spans="2:6">
      <c r="B18" t="s">
        <v>269</v>
      </c>
      <c r="C18" s="6">
        <v>0.1075</v>
      </c>
      <c r="D18" s="6">
        <v>0.2515</v>
      </c>
      <c r="E18" s="6">
        <v>0.3604</v>
      </c>
      <c r="F18" s="6">
        <v>0.26019999999999999</v>
      </c>
    </row>
    <row r="19" spans="2:6">
      <c r="B19" t="s">
        <v>71</v>
      </c>
      <c r="C19" s="6">
        <v>0.20100000000000001</v>
      </c>
      <c r="D19" s="6">
        <v>0.13519999999999999</v>
      </c>
      <c r="E19" s="6">
        <v>3.6999999999999998E-2</v>
      </c>
      <c r="F19" s="6">
        <v>1.4800000000000001E-2</v>
      </c>
    </row>
    <row r="20" spans="2:6">
      <c r="B20" t="s">
        <v>392</v>
      </c>
      <c r="C20" s="6">
        <v>0.22389999999999999</v>
      </c>
      <c r="D20" s="6">
        <v>0.17649999999999999</v>
      </c>
      <c r="E20" s="6">
        <v>0.25819999999999999</v>
      </c>
      <c r="F20" s="6">
        <v>0.19689999999999999</v>
      </c>
    </row>
    <row r="21" spans="2:6">
      <c r="B21" t="s">
        <v>233</v>
      </c>
      <c r="C21" s="6">
        <v>-6.3100000000000003E-2</v>
      </c>
      <c r="D21" s="6">
        <v>4.1300000000000003E-2</v>
      </c>
      <c r="E21" s="6">
        <v>0.1169</v>
      </c>
      <c r="F21" s="6">
        <v>-1.4500000000000001E-2</v>
      </c>
    </row>
    <row r="22" spans="2:6">
      <c r="B22" t="s">
        <v>47</v>
      </c>
      <c r="C22" s="6">
        <v>-2.87E-2</v>
      </c>
      <c r="D22" s="6">
        <v>-8.7099999999999997E-2</v>
      </c>
      <c r="E22" s="6">
        <v>-4.4900000000000002E-2</v>
      </c>
      <c r="F22" s="6">
        <v>6.0000000000000001E-3</v>
      </c>
    </row>
    <row r="23" spans="2:6">
      <c r="B23" t="s">
        <v>27</v>
      </c>
      <c r="C23" s="6">
        <v>-1.8499999999999999E-2</v>
      </c>
      <c r="D23" s="6">
        <v>5.74E-2</v>
      </c>
      <c r="E23" s="6">
        <v>0.2407</v>
      </c>
      <c r="F23" s="6">
        <v>0.33279999999999998</v>
      </c>
    </row>
    <row r="24" spans="2:6">
      <c r="B24" t="s">
        <v>311</v>
      </c>
      <c r="C24" s="6">
        <v>6.5199999999999994E-2</v>
      </c>
      <c r="D24" s="6">
        <v>6.6400000000000001E-2</v>
      </c>
      <c r="E24" s="6">
        <v>7.7200000000000005E-2</v>
      </c>
      <c r="F24" s="6">
        <v>3.1899999999999998E-2</v>
      </c>
    </row>
    <row r="25" spans="2:6">
      <c r="B25" t="s">
        <v>328</v>
      </c>
      <c r="C25" s="6">
        <v>-3.3799999999999997E-2</v>
      </c>
      <c r="D25" s="6">
        <v>-0.13300000000000001</v>
      </c>
      <c r="E25" s="6">
        <v>-0.21199999999999999</v>
      </c>
      <c r="F25" s="6">
        <v>-0.25040000000000001</v>
      </c>
    </row>
    <row r="26" spans="2:6">
      <c r="B26" t="s">
        <v>302</v>
      </c>
      <c r="C26" s="6">
        <v>0.1419</v>
      </c>
      <c r="D26" s="6">
        <v>4.19E-2</v>
      </c>
      <c r="E26" s="6">
        <v>5.9900000000000002E-2</v>
      </c>
      <c r="F26" s="6">
        <v>5.1999999999999998E-3</v>
      </c>
    </row>
    <row r="27" spans="2:6">
      <c r="B27" t="s">
        <v>113</v>
      </c>
      <c r="C27" s="6">
        <v>0.1177</v>
      </c>
      <c r="D27" s="6">
        <v>0.1055</v>
      </c>
      <c r="E27" s="6">
        <v>7.8399999999999997E-2</v>
      </c>
      <c r="F27" s="6">
        <v>6.9599999999999995E-2</v>
      </c>
    </row>
    <row r="28" spans="2:6">
      <c r="B28" t="s">
        <v>299</v>
      </c>
      <c r="C28" s="6">
        <v>7.6399999999999996E-2</v>
      </c>
      <c r="D28" s="6">
        <v>6.5000000000000002E-2</v>
      </c>
      <c r="E28" s="6">
        <v>6.8500000000000005E-2</v>
      </c>
      <c r="F28" s="6">
        <v>3.3300000000000003E-2</v>
      </c>
    </row>
    <row r="29" spans="2:6">
      <c r="B29" t="s">
        <v>144</v>
      </c>
      <c r="C29" s="6">
        <v>-0.1051</v>
      </c>
      <c r="D29" s="6">
        <v>-7.2099999999999997E-2</v>
      </c>
      <c r="E29" s="6">
        <v>-2.2800000000000001E-2</v>
      </c>
      <c r="F29" s="6">
        <v>-2.98E-2</v>
      </c>
    </row>
    <row r="30" spans="2:6">
      <c r="B30" t="s">
        <v>277</v>
      </c>
      <c r="C30" s="6">
        <v>-5.57E-2</v>
      </c>
      <c r="D30" s="6">
        <v>4.2099999999999999E-2</v>
      </c>
      <c r="E30" s="6">
        <v>7.5600000000000001E-2</v>
      </c>
      <c r="F30" s="6">
        <v>1.0200000000000001E-2</v>
      </c>
    </row>
    <row r="31" spans="2:6">
      <c r="B31" t="s">
        <v>145</v>
      </c>
      <c r="C31" s="6">
        <v>3.9300000000000002E-2</v>
      </c>
      <c r="D31" s="6">
        <v>3.6600000000000001E-2</v>
      </c>
      <c r="E31" s="6">
        <v>0.10199999999999999</v>
      </c>
      <c r="F31" s="6">
        <v>9.2999999999999999E-2</v>
      </c>
    </row>
    <row r="32" spans="2:6">
      <c r="B32" t="s">
        <v>155</v>
      </c>
      <c r="C32" s="6">
        <v>6.7599999999999993E-2</v>
      </c>
      <c r="D32" s="6">
        <v>9.8000000000000004E-2</v>
      </c>
      <c r="E32" s="6">
        <v>9.9400000000000002E-2</v>
      </c>
      <c r="F32" s="6">
        <v>2.5000000000000001E-2</v>
      </c>
    </row>
    <row r="33" spans="2:6">
      <c r="B33" t="s">
        <v>185</v>
      </c>
      <c r="C33" s="6">
        <v>9.7299999999999998E-2</v>
      </c>
      <c r="D33" s="6">
        <v>0.1469</v>
      </c>
      <c r="E33" s="6">
        <v>0.13550000000000001</v>
      </c>
      <c r="F33" s="6">
        <v>0.1681</v>
      </c>
    </row>
    <row r="34" spans="2:6">
      <c r="B34" t="s">
        <v>30</v>
      </c>
      <c r="C34" s="6">
        <v>2.4899999999999999E-2</v>
      </c>
      <c r="D34" s="6">
        <v>2.1100000000000001E-2</v>
      </c>
      <c r="E34" s="6">
        <v>4.7100000000000003E-2</v>
      </c>
      <c r="F34" s="6">
        <v>3.73E-2</v>
      </c>
    </row>
    <row r="35" spans="2:6">
      <c r="B35" t="s">
        <v>251</v>
      </c>
      <c r="C35" s="6">
        <v>0.1222</v>
      </c>
      <c r="D35" s="6">
        <v>0.109</v>
      </c>
      <c r="E35" s="6">
        <v>7.7100000000000002E-2</v>
      </c>
      <c r="F35" s="6">
        <v>4.9200000000000001E-2</v>
      </c>
    </row>
    <row r="36" spans="2:6">
      <c r="B36" t="s">
        <v>20</v>
      </c>
      <c r="C36" s="6">
        <v>0.35949999999999999</v>
      </c>
      <c r="D36" s="6">
        <v>0.44679999999999997</v>
      </c>
      <c r="E36" s="6">
        <v>1.1081000000000001</v>
      </c>
      <c r="F36" s="6">
        <v>1.6080000000000001</v>
      </c>
    </row>
    <row r="37" spans="2:6">
      <c r="B37" t="s">
        <v>222</v>
      </c>
      <c r="C37" s="6">
        <v>-0.25390000000000001</v>
      </c>
      <c r="D37" s="6">
        <v>2.6100000000000002E-2</v>
      </c>
      <c r="E37" s="6">
        <v>5.5800000000000002E-2</v>
      </c>
      <c r="F37" s="6">
        <v>0.31790000000000002</v>
      </c>
    </row>
    <row r="38" spans="2:6">
      <c r="B38" t="s">
        <v>177</v>
      </c>
      <c r="C38" s="6">
        <v>-2.1700000000000001E-2</v>
      </c>
      <c r="D38" s="6">
        <v>1.6799999999999999E-2</v>
      </c>
      <c r="E38" s="6">
        <v>3.5700000000000003E-2</v>
      </c>
      <c r="F38" s="6">
        <v>-2.7400000000000001E-2</v>
      </c>
    </row>
    <row r="39" spans="2:6">
      <c r="B39" t="s">
        <v>317</v>
      </c>
      <c r="C39" s="6">
        <v>-0.27339999999999998</v>
      </c>
      <c r="D39" s="6">
        <v>-0.22189999999999999</v>
      </c>
      <c r="E39" s="6">
        <v>-1.7600000000000001E-2</v>
      </c>
      <c r="F39" s="6">
        <v>-6.8599999999999994E-2</v>
      </c>
    </row>
    <row r="40" spans="2:6">
      <c r="B40" t="s">
        <v>103</v>
      </c>
      <c r="C40" s="6">
        <v>-0.13439999999999999</v>
      </c>
      <c r="D40" s="6">
        <v>-7.85E-2</v>
      </c>
      <c r="E40" s="6">
        <v>1.38E-2</v>
      </c>
      <c r="F40" s="6">
        <v>-3.6799999999999999E-2</v>
      </c>
    </row>
    <row r="41" spans="2:6">
      <c r="B41" t="s">
        <v>829</v>
      </c>
      <c r="C41" s="6">
        <v>-0.41549999999999998</v>
      </c>
      <c r="D41" s="6">
        <v>-0.59</v>
      </c>
      <c r="E41" s="6">
        <v>-0.54810000000000003</v>
      </c>
      <c r="F41" s="6">
        <v>-0.12189999999999999</v>
      </c>
    </row>
    <row r="42" spans="2:6">
      <c r="B42" t="s">
        <v>179</v>
      </c>
      <c r="C42" s="6">
        <v>3.0200000000000001E-2</v>
      </c>
      <c r="D42" s="6">
        <v>-0.11260000000000001</v>
      </c>
      <c r="E42" s="6">
        <v>-0.16289999999999999</v>
      </c>
      <c r="F42" s="6">
        <v>-7.9600000000000004E-2</v>
      </c>
    </row>
    <row r="43" spans="2:6">
      <c r="B43" t="s">
        <v>215</v>
      </c>
      <c r="C43" s="6">
        <v>0.42609999999999998</v>
      </c>
      <c r="D43" s="6">
        <v>0.37769999999999998</v>
      </c>
      <c r="E43" s="6">
        <v>0.35449999999999998</v>
      </c>
      <c r="F43" s="6">
        <v>0.35599999999999998</v>
      </c>
    </row>
    <row r="44" spans="2:6">
      <c r="B44" t="s">
        <v>418</v>
      </c>
      <c r="C44" s="6">
        <v>0.3826</v>
      </c>
      <c r="D44" s="6">
        <v>0.31559999999999999</v>
      </c>
      <c r="E44" s="6">
        <v>0.27879999999999999</v>
      </c>
      <c r="F44" s="6">
        <v>0.16400000000000001</v>
      </c>
    </row>
    <row r="45" spans="2:6">
      <c r="B45" t="s">
        <v>6</v>
      </c>
      <c r="C45" s="6">
        <v>1.66E-2</v>
      </c>
      <c r="D45" s="6">
        <v>5.8799999999999998E-2</v>
      </c>
      <c r="E45" s="6">
        <v>9.01E-2</v>
      </c>
      <c r="F45" s="6">
        <v>4.9599999999999998E-2</v>
      </c>
    </row>
    <row r="46" spans="2:6">
      <c r="B46" t="s">
        <v>398</v>
      </c>
      <c r="C46" s="6">
        <v>-0.15459999999999999</v>
      </c>
      <c r="D46" s="6">
        <v>4.1200000000000001E-2</v>
      </c>
      <c r="E46" s="6">
        <v>0.19400000000000001</v>
      </c>
      <c r="F46" s="6">
        <v>0.2157</v>
      </c>
    </row>
    <row r="47" spans="2:6">
      <c r="B47" t="s">
        <v>314</v>
      </c>
      <c r="C47" s="6">
        <v>3.2300000000000002E-2</v>
      </c>
      <c r="D47" s="6">
        <v>4.2999999999999997E-2</v>
      </c>
      <c r="E47" s="6">
        <v>7.5399999999999995E-2</v>
      </c>
      <c r="F47" s="6">
        <v>8.2600000000000007E-2</v>
      </c>
    </row>
    <row r="48" spans="2:6">
      <c r="B48" t="s">
        <v>160</v>
      </c>
      <c r="C48" s="6">
        <v>9.8699999999999996E-2</v>
      </c>
      <c r="D48" s="6">
        <v>0.20730000000000001</v>
      </c>
      <c r="E48" s="6">
        <v>1.09E-2</v>
      </c>
      <c r="F48" s="6">
        <v>-4.6899999999999997E-2</v>
      </c>
    </row>
    <row r="49" spans="2:6">
      <c r="B49" t="s">
        <v>56</v>
      </c>
      <c r="C49" s="6">
        <v>0.21429999999999999</v>
      </c>
      <c r="D49" s="6">
        <v>5.2900000000000003E-2</v>
      </c>
      <c r="E49" s="6">
        <v>-3.0099999999999998E-2</v>
      </c>
      <c r="F49" s="6">
        <v>4.0500000000000001E-2</v>
      </c>
    </row>
    <row r="50" spans="2:6">
      <c r="B50" t="s">
        <v>282</v>
      </c>
      <c r="C50" s="6">
        <v>0.14180000000000001</v>
      </c>
      <c r="D50" s="6">
        <v>0.15679999999999999</v>
      </c>
      <c r="E50" s="6">
        <v>0.1241</v>
      </c>
      <c r="F50" s="6">
        <v>7.8E-2</v>
      </c>
    </row>
    <row r="51" spans="2:6">
      <c r="B51" t="s">
        <v>332</v>
      </c>
      <c r="C51" s="6">
        <v>-0.20860000000000001</v>
      </c>
      <c r="D51" s="6">
        <v>-0.2261</v>
      </c>
      <c r="E51" s="6">
        <v>-0.18340000000000001</v>
      </c>
      <c r="F51" s="6">
        <v>-0.21679999999999999</v>
      </c>
    </row>
    <row r="52" spans="2:6">
      <c r="B52" t="s">
        <v>227</v>
      </c>
      <c r="C52" s="6">
        <v>0.1547</v>
      </c>
      <c r="D52" s="6">
        <v>0.1003</v>
      </c>
      <c r="E52" s="6">
        <v>7.1999999999999995E-2</v>
      </c>
      <c r="F52" s="6">
        <v>-4.7999999999999996E-3</v>
      </c>
    </row>
    <row r="53" spans="2:6">
      <c r="B53" t="s">
        <v>178</v>
      </c>
      <c r="C53" s="6">
        <v>-0.15620000000000001</v>
      </c>
      <c r="D53" s="6">
        <v>-7.7499999999999999E-2</v>
      </c>
      <c r="E53" s="6">
        <v>4.2999999999999997E-2</v>
      </c>
      <c r="F53" s="6">
        <v>8.2100000000000006E-2</v>
      </c>
    </row>
    <row r="54" spans="2:6">
      <c r="B54" t="s">
        <v>200</v>
      </c>
      <c r="C54" s="6">
        <v>0.39369999999999999</v>
      </c>
      <c r="D54" s="6">
        <v>0.3478</v>
      </c>
      <c r="E54" s="6">
        <v>0.19420000000000001</v>
      </c>
      <c r="F54" s="6">
        <v>0.36820000000000003</v>
      </c>
    </row>
    <row r="55" spans="2:6">
      <c r="B55" t="s">
        <v>400</v>
      </c>
      <c r="C55" s="6">
        <v>7.3499999999999996E-2</v>
      </c>
      <c r="D55" s="6">
        <v>4.8399999999999999E-2</v>
      </c>
      <c r="E55" s="6">
        <v>8.5199999999999998E-2</v>
      </c>
      <c r="F55" s="6">
        <v>5.5500000000000001E-2</v>
      </c>
    </row>
    <row r="56" spans="2:6">
      <c r="B56" t="s">
        <v>212</v>
      </c>
      <c r="C56" s="6">
        <v>0.1426</v>
      </c>
      <c r="D56" s="6">
        <v>0.21859999999999999</v>
      </c>
      <c r="E56" s="6">
        <v>0.1709</v>
      </c>
      <c r="F56" s="6">
        <v>0.1527</v>
      </c>
    </row>
    <row r="57" spans="2:6">
      <c r="B57" t="s">
        <v>244</v>
      </c>
      <c r="C57" s="6">
        <v>0.14280000000000001</v>
      </c>
      <c r="D57" s="6">
        <v>7.6300000000000007E-2</v>
      </c>
      <c r="E57" s="6">
        <v>2.4E-2</v>
      </c>
      <c r="F57" s="6">
        <v>-2.6800000000000001E-2</v>
      </c>
    </row>
    <row r="58" spans="2:6">
      <c r="B58" t="s">
        <v>39</v>
      </c>
      <c r="C58" s="6">
        <v>-5.2999999999999999E-2</v>
      </c>
      <c r="D58" s="6">
        <v>-6.2E-2</v>
      </c>
      <c r="E58" s="6">
        <v>-9.9500000000000005E-2</v>
      </c>
      <c r="F58" s="6">
        <v>-0.1472</v>
      </c>
    </row>
    <row r="59" spans="2:6">
      <c r="B59" t="s">
        <v>52</v>
      </c>
      <c r="C59" s="6">
        <v>-0.11119999999999999</v>
      </c>
      <c r="D59" s="6">
        <v>9.4000000000000004E-3</v>
      </c>
      <c r="E59" s="6">
        <v>0.1361</v>
      </c>
      <c r="F59" s="6">
        <v>0.19270000000000001</v>
      </c>
    </row>
    <row r="60" spans="2:6">
      <c r="B60" t="s">
        <v>134</v>
      </c>
      <c r="C60" s="6">
        <v>8.0000000000000004E-4</v>
      </c>
      <c r="D60" s="6">
        <v>2.0899999999999998E-2</v>
      </c>
      <c r="E60" s="6">
        <v>7.9000000000000008E-3</v>
      </c>
      <c r="F60" s="6">
        <v>5.7099999999999998E-2</v>
      </c>
    </row>
    <row r="61" spans="2:6">
      <c r="B61" t="s">
        <v>32</v>
      </c>
      <c r="C61" s="6">
        <v>6.0600000000000001E-2</v>
      </c>
      <c r="D61" s="6">
        <v>0.11849999999999999</v>
      </c>
      <c r="E61" s="6">
        <v>0.14249999999999999</v>
      </c>
      <c r="F61" s="6">
        <v>0.115</v>
      </c>
    </row>
    <row r="62" spans="2:6">
      <c r="B62" t="s">
        <v>276</v>
      </c>
      <c r="C62" s="6">
        <v>1.4941</v>
      </c>
      <c r="D62" s="6">
        <v>1.5076000000000001</v>
      </c>
      <c r="E62" s="6">
        <v>1.5046999999999999</v>
      </c>
      <c r="F62" s="6">
        <v>-0.18679999999999999</v>
      </c>
    </row>
    <row r="63" spans="2:6">
      <c r="B63" t="s">
        <v>273</v>
      </c>
      <c r="C63" s="6">
        <v>2.7900000000000001E-2</v>
      </c>
      <c r="D63" s="6">
        <v>3.3700000000000001E-2</v>
      </c>
      <c r="E63" s="6">
        <v>0.20449999999999999</v>
      </c>
      <c r="F63" s="6">
        <v>0.24460000000000001</v>
      </c>
    </row>
    <row r="64" spans="2:6">
      <c r="B64" t="s">
        <v>106</v>
      </c>
      <c r="C64" s="6">
        <v>0.38700000000000001</v>
      </c>
      <c r="D64" s="6">
        <v>0.17419999999999999</v>
      </c>
      <c r="E64" s="6">
        <v>4.3400000000000001E-2</v>
      </c>
      <c r="F64" s="6">
        <v>-6.6100000000000006E-2</v>
      </c>
    </row>
    <row r="65" spans="2:6">
      <c r="B65" t="s">
        <v>8</v>
      </c>
      <c r="C65" s="6">
        <v>-0.25590000000000002</v>
      </c>
      <c r="D65" s="6">
        <v>-8.8000000000000005E-3</v>
      </c>
      <c r="E65" s="6">
        <v>-0.13819999999999999</v>
      </c>
      <c r="F65" s="6">
        <v>0.45200000000000001</v>
      </c>
    </row>
    <row r="66" spans="2:6">
      <c r="B66" t="s">
        <v>2</v>
      </c>
      <c r="C66" s="6">
        <v>-0.37359999999999999</v>
      </c>
      <c r="D66" s="6">
        <v>-0.4138</v>
      </c>
      <c r="E66" s="6">
        <v>12.202400000000001</v>
      </c>
      <c r="F66" s="6">
        <v>12.398999999999999</v>
      </c>
    </row>
    <row r="67" spans="2:6">
      <c r="B67" t="s">
        <v>42</v>
      </c>
      <c r="C67" s="6">
        <v>0.2031</v>
      </c>
      <c r="D67" s="6">
        <v>0.25090000000000001</v>
      </c>
      <c r="E67" s="6">
        <v>7.0999999999999994E-2</v>
      </c>
      <c r="F67" s="6">
        <v>8.9200000000000002E-2</v>
      </c>
    </row>
    <row r="68" spans="2:6">
      <c r="B68" t="s">
        <v>247</v>
      </c>
      <c r="C68" s="6">
        <v>5.0284000000000004</v>
      </c>
      <c r="D68" s="6">
        <v>4.7469999999999999</v>
      </c>
      <c r="E68" s="6">
        <v>4.7965</v>
      </c>
      <c r="F68" s="6">
        <v>4.7686000000000002</v>
      </c>
    </row>
    <row r="69" spans="2:6">
      <c r="B69" t="s">
        <v>96</v>
      </c>
      <c r="C69" s="6">
        <v>0.1804</v>
      </c>
      <c r="D69" s="6">
        <v>0.1565</v>
      </c>
      <c r="E69" s="6">
        <v>0.1082</v>
      </c>
      <c r="F69" s="6">
        <v>7.7200000000000005E-2</v>
      </c>
    </row>
    <row r="70" spans="2:6">
      <c r="B70" t="s">
        <v>127</v>
      </c>
      <c r="C70" s="6">
        <v>0.1361</v>
      </c>
      <c r="D70" s="6">
        <v>0.14000000000000001</v>
      </c>
      <c r="E70" s="6">
        <v>0.1081</v>
      </c>
      <c r="F70" s="6">
        <v>0.10780000000000001</v>
      </c>
    </row>
    <row r="71" spans="2:6">
      <c r="B71" t="s">
        <v>187</v>
      </c>
      <c r="C71" s="6">
        <v>3.39E-2</v>
      </c>
      <c r="D71" s="6">
        <v>5.3E-3</v>
      </c>
      <c r="E71" s="6">
        <v>5.4999999999999997E-3</v>
      </c>
      <c r="F71" s="6">
        <v>-4.6600000000000003E-2</v>
      </c>
    </row>
    <row r="72" spans="2:6">
      <c r="B72" t="s">
        <v>136</v>
      </c>
      <c r="C72" s="6">
        <v>0.29959999999999998</v>
      </c>
      <c r="D72" s="6">
        <v>1.1251</v>
      </c>
      <c r="E72" s="6">
        <v>1.23</v>
      </c>
      <c r="F72" s="6">
        <v>0.98729999999999996</v>
      </c>
    </row>
    <row r="73" spans="2:6">
      <c r="B73" t="s">
        <v>220</v>
      </c>
      <c r="C73" s="6">
        <v>9.5299999999999996E-2</v>
      </c>
      <c r="D73" s="6">
        <v>7.0499999999999993E-2</v>
      </c>
      <c r="E73" s="6">
        <v>4.3299999999999998E-2</v>
      </c>
      <c r="F73" s="6">
        <v>1.37E-2</v>
      </c>
    </row>
    <row r="74" spans="2:6">
      <c r="B74" t="s">
        <v>35</v>
      </c>
      <c r="C74" s="6">
        <v>1.5900000000000001E-2</v>
      </c>
      <c r="D74" s="6">
        <v>5.8500000000000003E-2</v>
      </c>
      <c r="E74" s="6">
        <v>4.9399999999999999E-2</v>
      </c>
      <c r="F74" s="6">
        <v>1.1000000000000001E-3</v>
      </c>
    </row>
    <row r="75" spans="2:6">
      <c r="B75" t="s">
        <v>95</v>
      </c>
      <c r="C75" s="6">
        <v>0.16639999999999999</v>
      </c>
      <c r="D75" s="6">
        <v>0.18709999999999999</v>
      </c>
      <c r="E75" s="6">
        <v>0.16489999999999999</v>
      </c>
      <c r="F75" s="6">
        <v>0.155</v>
      </c>
    </row>
    <row r="76" spans="2:6">
      <c r="B76" t="s">
        <v>109</v>
      </c>
      <c r="C76" s="6">
        <v>6.5699999999999995E-2</v>
      </c>
      <c r="D76" s="6">
        <v>8.2400000000000001E-2</v>
      </c>
      <c r="E76" s="6">
        <v>5.3199999999999997E-2</v>
      </c>
      <c r="F76" s="6">
        <v>7.4300000000000005E-2</v>
      </c>
    </row>
    <row r="77" spans="2:6">
      <c r="B77" t="s">
        <v>77</v>
      </c>
      <c r="C77" s="6">
        <v>0.27679999999999999</v>
      </c>
      <c r="D77" s="6">
        <v>0.16300000000000001</v>
      </c>
      <c r="E77" s="6">
        <v>9.5500000000000002E-2</v>
      </c>
      <c r="F77" s="6">
        <v>4.41E-2</v>
      </c>
    </row>
    <row r="78" spans="2:6">
      <c r="B78" t="s">
        <v>396</v>
      </c>
      <c r="C78" s="6">
        <v>6.5156999999999998</v>
      </c>
      <c r="D78" s="6">
        <v>6.6346999999999996</v>
      </c>
      <c r="E78" s="6">
        <v>6.8712999999999997</v>
      </c>
      <c r="F78" s="6">
        <v>7.2521000000000004</v>
      </c>
    </row>
    <row r="79" spans="2:6">
      <c r="B79" t="s">
        <v>265</v>
      </c>
      <c r="C79" s="6">
        <v>0.15110000000000001</v>
      </c>
      <c r="D79" s="6">
        <v>0.10199999999999999</v>
      </c>
      <c r="E79" s="6">
        <v>4.58E-2</v>
      </c>
      <c r="F79" s="6">
        <v>-1.7899999999999999E-2</v>
      </c>
    </row>
    <row r="80" spans="2:6">
      <c r="B80" t="s">
        <v>235</v>
      </c>
      <c r="C80" s="6">
        <v>0.25629999999999997</v>
      </c>
      <c r="D80" s="6">
        <v>0.28299999999999997</v>
      </c>
      <c r="E80" s="6">
        <v>0.24079999999999999</v>
      </c>
      <c r="F80" s="6">
        <v>0.23680000000000001</v>
      </c>
    </row>
    <row r="81" spans="2:6">
      <c r="B81" t="s">
        <v>407</v>
      </c>
      <c r="C81" s="6">
        <v>-0.1072</v>
      </c>
      <c r="D81" s="6">
        <v>-0.20319999999999999</v>
      </c>
      <c r="E81" s="6">
        <v>-0.1017</v>
      </c>
      <c r="F81" s="6">
        <v>6.3799999999999996E-2</v>
      </c>
    </row>
    <row r="82" spans="2:6">
      <c r="B82" t="s">
        <v>129</v>
      </c>
      <c r="C82" s="6">
        <v>6.3452000000000002</v>
      </c>
      <c r="D82" s="6">
        <v>0.55020000000000002</v>
      </c>
      <c r="E82" s="6">
        <v>0.2334</v>
      </c>
      <c r="F82" s="6">
        <v>0.26939999999999997</v>
      </c>
    </row>
    <row r="83" spans="2:6">
      <c r="B83" t="s">
        <v>188</v>
      </c>
      <c r="C83" s="6">
        <v>-6.6900000000000001E-2</v>
      </c>
      <c r="D83" s="6">
        <v>-7.4300000000000005E-2</v>
      </c>
      <c r="E83" s="6">
        <v>-2.2200000000000001E-2</v>
      </c>
      <c r="F83" s="6">
        <v>8.0999999999999996E-3</v>
      </c>
    </row>
    <row r="84" spans="2:6">
      <c r="B84" t="s">
        <v>121</v>
      </c>
      <c r="C84" s="6">
        <v>0.3</v>
      </c>
      <c r="D84" s="6">
        <v>0.1406</v>
      </c>
      <c r="E84" s="6">
        <v>8.7300000000000003E-2</v>
      </c>
      <c r="F84" s="6">
        <v>8.7300000000000003E-2</v>
      </c>
    </row>
    <row r="85" spans="2:6">
      <c r="B85" t="s">
        <v>3</v>
      </c>
      <c r="C85" s="6">
        <v>8.0000000000000004E-4</v>
      </c>
      <c r="D85" s="6">
        <v>-4.82E-2</v>
      </c>
      <c r="E85" s="6">
        <v>4.6699999999999998E-2</v>
      </c>
      <c r="F85" s="6">
        <v>8.5000000000000006E-2</v>
      </c>
    </row>
    <row r="86" spans="2:6">
      <c r="B86" t="s">
        <v>219</v>
      </c>
      <c r="C86" s="6">
        <v>0.1037</v>
      </c>
      <c r="D86" s="6">
        <v>7.9000000000000001E-2</v>
      </c>
      <c r="E86" s="6">
        <v>9.2100000000000001E-2</v>
      </c>
      <c r="F86" s="6">
        <v>0.1051</v>
      </c>
    </row>
    <row r="87" spans="2:6">
      <c r="B87" t="s">
        <v>252</v>
      </c>
      <c r="C87" s="6">
        <v>7.9600000000000004E-2</v>
      </c>
      <c r="D87" s="6">
        <v>2.5000000000000001E-2</v>
      </c>
      <c r="E87" s="6">
        <v>1.3899999999999999E-2</v>
      </c>
      <c r="F87" s="6">
        <v>-3.7000000000000002E-3</v>
      </c>
    </row>
    <row r="88" spans="2:6">
      <c r="B88" t="s">
        <v>12</v>
      </c>
      <c r="C88" s="6">
        <v>-4.0899999999999999E-2</v>
      </c>
      <c r="D88" s="6">
        <v>-7.7999999999999996E-3</v>
      </c>
      <c r="E88" s="6">
        <v>6.08E-2</v>
      </c>
      <c r="F88" s="6">
        <v>8.3599999999999994E-2</v>
      </c>
    </row>
    <row r="89" spans="2:6">
      <c r="B89" t="s">
        <v>415</v>
      </c>
      <c r="C89" s="6">
        <v>0.15820000000000001</v>
      </c>
      <c r="D89" s="6">
        <v>0.13950000000000001</v>
      </c>
      <c r="E89" s="6">
        <v>0.1293</v>
      </c>
      <c r="F89" s="6">
        <v>8.7300000000000003E-2</v>
      </c>
    </row>
    <row r="90" spans="2:6">
      <c r="B90" t="s">
        <v>163</v>
      </c>
      <c r="C90" s="6">
        <v>0.30349999999999999</v>
      </c>
      <c r="D90" s="6">
        <v>0.17100000000000001</v>
      </c>
      <c r="E90" s="6">
        <v>0.1394</v>
      </c>
      <c r="F90" s="6">
        <v>2.6200000000000001E-2</v>
      </c>
    </row>
    <row r="91" spans="2:6">
      <c r="B91" t="s">
        <v>261</v>
      </c>
      <c r="C91" s="6">
        <v>8.1799999999999998E-2</v>
      </c>
      <c r="D91" s="6">
        <v>0.1023</v>
      </c>
      <c r="E91" s="6">
        <v>6.1600000000000002E-2</v>
      </c>
      <c r="F91" s="6">
        <v>4.7600000000000003E-2</v>
      </c>
    </row>
    <row r="92" spans="2:6">
      <c r="B92" t="s">
        <v>412</v>
      </c>
      <c r="C92" s="6">
        <v>5.5599999999999997E-2</v>
      </c>
      <c r="D92" s="6">
        <v>0.21360000000000001</v>
      </c>
      <c r="E92" s="6">
        <v>0.28839999999999999</v>
      </c>
      <c r="F92" s="6">
        <v>0.2792</v>
      </c>
    </row>
    <row r="93" spans="2:6">
      <c r="B93" t="s">
        <v>293</v>
      </c>
      <c r="C93" s="6">
        <v>0.22070000000000001</v>
      </c>
      <c r="D93" s="6">
        <v>-6.5100000000000005E-2</v>
      </c>
      <c r="E93" s="6">
        <v>-9.11E-2</v>
      </c>
      <c r="F93" s="6">
        <v>-0.1585</v>
      </c>
    </row>
    <row r="94" spans="2:6">
      <c r="B94" t="s">
        <v>422</v>
      </c>
      <c r="C94" s="6">
        <v>-2.3999999999999998E-3</v>
      </c>
      <c r="D94" s="6">
        <v>-5.2600000000000001E-2</v>
      </c>
      <c r="E94" s="6">
        <v>2.5999999999999999E-2</v>
      </c>
      <c r="F94" s="6">
        <v>-1.03E-2</v>
      </c>
    </row>
    <row r="95" spans="2:6">
      <c r="B95" t="s">
        <v>386</v>
      </c>
      <c r="C95" s="6">
        <v>0.13569999999999999</v>
      </c>
      <c r="D95" s="6">
        <v>2.5100000000000001E-2</v>
      </c>
      <c r="E95" s="6">
        <v>7.9600000000000004E-2</v>
      </c>
      <c r="F95" s="6">
        <v>0.10829999999999999</v>
      </c>
    </row>
    <row r="96" spans="2:6">
      <c r="B96" t="s">
        <v>151</v>
      </c>
      <c r="C96" s="6">
        <v>0.23300000000000001</v>
      </c>
      <c r="D96" s="6">
        <v>8.5800000000000001E-2</v>
      </c>
      <c r="E96" s="6">
        <v>3.5299999999999998E-2</v>
      </c>
      <c r="F96" s="6">
        <v>2.18E-2</v>
      </c>
    </row>
    <row r="97" spans="2:6">
      <c r="B97" t="s">
        <v>17</v>
      </c>
      <c r="C97" s="6">
        <v>0.27700000000000002</v>
      </c>
      <c r="D97" s="6">
        <v>0.30409999999999998</v>
      </c>
      <c r="E97" s="6">
        <v>0.26419999999999999</v>
      </c>
      <c r="F97" s="6">
        <v>3.1399999999999997E-2</v>
      </c>
    </row>
    <row r="98" spans="2:6">
      <c r="B98" t="s">
        <v>295</v>
      </c>
      <c r="C98" s="6">
        <v>-5.9799999999999999E-2</v>
      </c>
      <c r="D98" s="6">
        <v>-8.3199999999999996E-2</v>
      </c>
      <c r="E98" s="6">
        <v>-7.0800000000000002E-2</v>
      </c>
      <c r="F98" s="6">
        <v>-1.11E-2</v>
      </c>
    </row>
    <row r="99" spans="2:6">
      <c r="B99" t="s">
        <v>182</v>
      </c>
      <c r="C99" s="6">
        <v>0.1193</v>
      </c>
      <c r="D99" s="6">
        <v>0.11119999999999999</v>
      </c>
      <c r="E99" s="6">
        <v>0.1236</v>
      </c>
      <c r="F99" s="6">
        <v>7.7100000000000002E-2</v>
      </c>
    </row>
    <row r="100" spans="2:6">
      <c r="B100" t="s">
        <v>815</v>
      </c>
      <c r="C100" s="6">
        <v>0.1245</v>
      </c>
      <c r="D100" s="6">
        <v>0.1043</v>
      </c>
      <c r="E100" s="6">
        <v>9.2799999999999994E-2</v>
      </c>
      <c r="F100" s="6">
        <v>0.13239999999999999</v>
      </c>
    </row>
    <row r="101" spans="2:6">
      <c r="B101" t="s">
        <v>201</v>
      </c>
      <c r="C101" s="6">
        <v>9.5299999999999996E-2</v>
      </c>
      <c r="D101" s="6">
        <v>6.8099999999999994E-2</v>
      </c>
      <c r="E101" s="6">
        <v>7.1000000000000004E-3</v>
      </c>
      <c r="F101" s="6">
        <v>-1.67E-2</v>
      </c>
    </row>
    <row r="102" spans="2:6">
      <c r="B102" t="s">
        <v>419</v>
      </c>
      <c r="C102" s="6">
        <v>0.12570000000000001</v>
      </c>
      <c r="D102" s="6">
        <v>8.1299999999999997E-2</v>
      </c>
      <c r="E102" s="6">
        <v>5.7200000000000001E-2</v>
      </c>
      <c r="F102" s="6">
        <v>5.5199999999999999E-2</v>
      </c>
    </row>
    <row r="103" spans="2:6">
      <c r="B103" t="s">
        <v>13</v>
      </c>
      <c r="C103" s="6">
        <v>0.28039999999999998</v>
      </c>
      <c r="D103" s="6">
        <v>0.14280000000000001</v>
      </c>
      <c r="E103" s="6">
        <v>0.23200000000000001</v>
      </c>
      <c r="F103" s="6">
        <v>0.1946</v>
      </c>
    </row>
    <row r="104" spans="2:6">
      <c r="B104" t="s">
        <v>303</v>
      </c>
      <c r="C104" s="6">
        <v>0.23830000000000001</v>
      </c>
      <c r="D104" s="6">
        <v>8.09E-2</v>
      </c>
      <c r="E104" s="6">
        <v>6.4100000000000004E-2</v>
      </c>
      <c r="F104" s="6">
        <v>0.1007</v>
      </c>
    </row>
    <row r="105" spans="2:6">
      <c r="B105" t="s">
        <v>305</v>
      </c>
      <c r="C105" s="6">
        <v>-0.1699</v>
      </c>
      <c r="D105" s="6">
        <v>-0.34899999999999998</v>
      </c>
      <c r="E105" s="6">
        <v>-0.49709999999999999</v>
      </c>
      <c r="F105" s="6">
        <v>1.2112000000000001</v>
      </c>
    </row>
    <row r="106" spans="2:6">
      <c r="B106" t="s">
        <v>24</v>
      </c>
      <c r="C106" s="6">
        <v>1.2061999999999999</v>
      </c>
      <c r="D106" s="6">
        <v>0.77900000000000003</v>
      </c>
      <c r="E106" s="6">
        <v>-8.9300000000000004E-2</v>
      </c>
      <c r="F106" s="6">
        <v>-0.33860000000000001</v>
      </c>
    </row>
    <row r="107" spans="2:6">
      <c r="B107" t="s">
        <v>421</v>
      </c>
      <c r="C107" s="6">
        <v>-0.14530000000000001</v>
      </c>
      <c r="D107" s="6">
        <v>-0.13109999999999999</v>
      </c>
      <c r="E107" s="6">
        <v>-5.6899999999999999E-2</v>
      </c>
      <c r="F107" s="6">
        <v>-8.2400000000000001E-2</v>
      </c>
    </row>
    <row r="108" spans="2:6">
      <c r="B108" t="s">
        <v>16</v>
      </c>
      <c r="C108" s="6">
        <v>0.2535</v>
      </c>
      <c r="D108" s="6">
        <v>9.9599999999999994E-2</v>
      </c>
      <c r="E108" s="6">
        <v>0.21479999999999999</v>
      </c>
      <c r="F108" s="6">
        <v>0.21479999999999999</v>
      </c>
    </row>
    <row r="109" spans="2:6">
      <c r="B109" t="s">
        <v>142</v>
      </c>
      <c r="C109" s="6">
        <v>0.1762</v>
      </c>
      <c r="D109" s="6">
        <v>-3.3099999999999997E-2</v>
      </c>
      <c r="E109" s="6">
        <v>-0.13819999999999999</v>
      </c>
      <c r="F109" s="6">
        <v>-0.28620000000000001</v>
      </c>
    </row>
    <row r="110" spans="2:6">
      <c r="B110" t="s">
        <v>202</v>
      </c>
      <c r="C110" s="6">
        <v>8.09E-2</v>
      </c>
      <c r="D110" s="6">
        <v>0.13730000000000001</v>
      </c>
      <c r="E110" s="6">
        <v>0.15939999999999999</v>
      </c>
      <c r="F110" s="6">
        <v>0.10580000000000001</v>
      </c>
    </row>
    <row r="111" spans="2:6">
      <c r="B111" t="s">
        <v>279</v>
      </c>
      <c r="C111" s="6">
        <v>8.0600000000000005E-2</v>
      </c>
      <c r="D111" s="6">
        <v>8.3099999999999993E-2</v>
      </c>
      <c r="E111" s="6">
        <v>8.7599999999999997E-2</v>
      </c>
      <c r="F111" s="6">
        <v>9.7900000000000001E-2</v>
      </c>
    </row>
    <row r="112" spans="2:6">
      <c r="B112" t="s">
        <v>835</v>
      </c>
      <c r="C112" s="6">
        <v>0.1011</v>
      </c>
      <c r="D112" s="6">
        <v>-2.5000000000000001E-3</v>
      </c>
      <c r="E112" s="6">
        <v>-6.7599999999999993E-2</v>
      </c>
      <c r="F112" s="6">
        <v>-0.24790000000000001</v>
      </c>
    </row>
    <row r="113" spans="2:6">
      <c r="B113" t="s">
        <v>143</v>
      </c>
      <c r="C113" s="6">
        <v>0.31390000000000001</v>
      </c>
      <c r="D113" s="6">
        <v>0.06</v>
      </c>
      <c r="E113" s="6">
        <v>-7.2999999999999995E-2</v>
      </c>
      <c r="F113" s="6">
        <v>-0.1356</v>
      </c>
    </row>
    <row r="114" spans="2:6">
      <c r="B114" t="s">
        <v>423</v>
      </c>
      <c r="C114" s="6">
        <v>3.2199999999999999E-2</v>
      </c>
      <c r="D114" s="6">
        <v>-6.2399999999999997E-2</v>
      </c>
      <c r="E114" s="6">
        <v>-4.4400000000000002E-2</v>
      </c>
      <c r="F114" s="6">
        <v>-3.3000000000000002E-2</v>
      </c>
    </row>
    <row r="115" spans="2:6">
      <c r="B115" t="s">
        <v>832</v>
      </c>
      <c r="C115" s="6">
        <v>-6.4199999999999993E-2</v>
      </c>
      <c r="D115" s="6">
        <v>-8.4699999999999998E-2</v>
      </c>
      <c r="E115" s="6">
        <v>-0.15049999999999999</v>
      </c>
      <c r="F115" s="6">
        <v>-0.2366</v>
      </c>
    </row>
    <row r="116" spans="2:6">
      <c r="B116" t="s">
        <v>229</v>
      </c>
      <c r="C116" s="6">
        <v>1.1716</v>
      </c>
      <c r="D116" s="6">
        <v>0.87539999999999996</v>
      </c>
      <c r="E116" s="6">
        <v>0.84870000000000001</v>
      </c>
      <c r="F116" s="6">
        <v>1.0629999999999999</v>
      </c>
    </row>
    <row r="117" spans="2:6">
      <c r="B117" t="s">
        <v>76</v>
      </c>
      <c r="C117" s="6">
        <v>2.92E-2</v>
      </c>
      <c r="D117" s="6">
        <v>2.4299999999999999E-2</v>
      </c>
      <c r="E117" s="6">
        <v>4.4900000000000002E-2</v>
      </c>
      <c r="F117" s="6">
        <v>4.0899999999999999E-2</v>
      </c>
    </row>
    <row r="118" spans="2:6">
      <c r="B118" t="s">
        <v>393</v>
      </c>
      <c r="C118" s="6">
        <v>-0.17549999999999999</v>
      </c>
      <c r="D118" s="6">
        <v>6.7428999999999997</v>
      </c>
      <c r="E118" s="6">
        <v>7.4047999999999998</v>
      </c>
      <c r="F118" s="6">
        <v>7.2897999999999996</v>
      </c>
    </row>
    <row r="119" spans="2:6">
      <c r="B119" t="s">
        <v>79</v>
      </c>
      <c r="C119" s="6">
        <v>4.6600000000000003E-2</v>
      </c>
      <c r="D119" s="6">
        <v>3.8600000000000002E-2</v>
      </c>
      <c r="E119" s="6">
        <v>2.9399999999999999E-2</v>
      </c>
      <c r="F119" s="6">
        <v>3.1300000000000001E-2</v>
      </c>
    </row>
    <row r="120" spans="2:6">
      <c r="B120" t="s">
        <v>254</v>
      </c>
      <c r="C120" s="6">
        <v>0.13320000000000001</v>
      </c>
      <c r="D120" s="6">
        <v>0.09</v>
      </c>
      <c r="E120" s="6">
        <v>0.13619999999999999</v>
      </c>
      <c r="F120" s="6">
        <v>0.1459</v>
      </c>
    </row>
    <row r="121" spans="2:6">
      <c r="B121" t="s">
        <v>811</v>
      </c>
      <c r="C121" s="6">
        <v>8.2699999999999996E-2</v>
      </c>
      <c r="D121" s="6">
        <v>4.0599999999999997E-2</v>
      </c>
      <c r="E121" s="6">
        <v>3.2099999999999997E-2</v>
      </c>
      <c r="F121" s="6">
        <v>4.0599999999999997E-2</v>
      </c>
    </row>
    <row r="122" spans="2:6">
      <c r="B122" t="s">
        <v>383</v>
      </c>
      <c r="C122" s="6">
        <v>-4.1799999999999997E-2</v>
      </c>
      <c r="D122" s="6">
        <v>-0.13930000000000001</v>
      </c>
      <c r="E122" s="6">
        <v>-0.2361</v>
      </c>
      <c r="F122" s="6">
        <v>-0.35099999999999998</v>
      </c>
    </row>
    <row r="123" spans="2:6">
      <c r="B123" t="s">
        <v>114</v>
      </c>
      <c r="C123" s="6">
        <v>0.88100000000000001</v>
      </c>
      <c r="D123" s="6">
        <v>0.58330000000000004</v>
      </c>
      <c r="E123" s="6">
        <v>0.95099999999999996</v>
      </c>
      <c r="F123" s="6">
        <v>1.1631</v>
      </c>
    </row>
    <row r="124" spans="2:6">
      <c r="B124" t="s">
        <v>387</v>
      </c>
      <c r="C124" s="6">
        <v>8.4000000000000005E-2</v>
      </c>
      <c r="D124" s="6">
        <v>0.20250000000000001</v>
      </c>
      <c r="E124" s="6">
        <v>0.254</v>
      </c>
      <c r="F124" s="6">
        <v>0.26200000000000001</v>
      </c>
    </row>
    <row r="125" spans="2:6">
      <c r="B125" t="s">
        <v>138</v>
      </c>
      <c r="C125" s="6">
        <v>0.22550000000000001</v>
      </c>
      <c r="D125" s="6">
        <v>0.3231</v>
      </c>
      <c r="E125" s="6">
        <v>0.1414</v>
      </c>
      <c r="F125" s="6">
        <v>0.1414</v>
      </c>
    </row>
    <row r="126" spans="2:6">
      <c r="B126" t="s">
        <v>413</v>
      </c>
      <c r="C126" s="6">
        <v>-5.5E-2</v>
      </c>
      <c r="D126" s="6">
        <v>-4.3400000000000001E-2</v>
      </c>
      <c r="E126" s="6">
        <v>-2.64E-2</v>
      </c>
      <c r="F126" s="6">
        <v>-2.6499999999999999E-2</v>
      </c>
    </row>
    <row r="127" spans="2:6">
      <c r="B127" t="s">
        <v>399</v>
      </c>
      <c r="C127" s="6">
        <v>8.8200000000000001E-2</v>
      </c>
      <c r="D127" s="6">
        <v>-6.9999999999999999E-4</v>
      </c>
      <c r="E127" s="6">
        <v>-3.6200000000000003E-2</v>
      </c>
      <c r="F127" s="6">
        <v>-6.8699999999999997E-2</v>
      </c>
    </row>
    <row r="128" spans="2:6">
      <c r="B128" t="s">
        <v>64</v>
      </c>
      <c r="C128" s="6">
        <v>2.5999999999999999E-2</v>
      </c>
      <c r="D128" s="6">
        <v>9.9000000000000005E-2</v>
      </c>
      <c r="E128" s="6">
        <v>6.2799999999999995E-2</v>
      </c>
      <c r="F128" s="6">
        <v>-1.7399999999999999E-2</v>
      </c>
    </row>
    <row r="129" spans="2:6">
      <c r="B129" t="s">
        <v>301</v>
      </c>
      <c r="C129" s="6">
        <v>0.317</v>
      </c>
      <c r="D129" s="6">
        <v>0.314</v>
      </c>
      <c r="E129" s="6">
        <v>0.32340000000000002</v>
      </c>
      <c r="F129" s="6">
        <v>0.34129999999999999</v>
      </c>
    </row>
    <row r="130" spans="2:6">
      <c r="B130" t="s">
        <v>173</v>
      </c>
      <c r="C130" s="6">
        <v>0.39489999999999997</v>
      </c>
      <c r="D130" s="6">
        <v>-3.8100000000000002E-2</v>
      </c>
      <c r="E130" s="6">
        <v>0.25240000000000001</v>
      </c>
      <c r="F130" s="6">
        <v>1E-4</v>
      </c>
    </row>
    <row r="131" spans="2:6">
      <c r="B131" t="s">
        <v>130</v>
      </c>
      <c r="C131" s="6">
        <v>0.12809999999999999</v>
      </c>
      <c r="D131" s="6">
        <v>0.1124</v>
      </c>
      <c r="E131" s="6">
        <v>0.11609999999999999</v>
      </c>
      <c r="F131" s="6">
        <v>0.1119</v>
      </c>
    </row>
    <row r="132" spans="2:6">
      <c r="B132" t="s">
        <v>176</v>
      </c>
      <c r="C132" s="6">
        <v>-0.18290000000000001</v>
      </c>
      <c r="D132" s="6">
        <v>3.0499999999999999E-2</v>
      </c>
      <c r="E132" s="6">
        <v>8.1000000000000003E-2</v>
      </c>
      <c r="F132" s="6">
        <v>0.1467</v>
      </c>
    </row>
    <row r="133" spans="2:6">
      <c r="B133" t="s">
        <v>1</v>
      </c>
      <c r="C133" s="6">
        <v>1.5766</v>
      </c>
      <c r="D133" s="6">
        <v>1.6873</v>
      </c>
      <c r="E133" s="6">
        <v>1.6726000000000001</v>
      </c>
      <c r="F133" s="6">
        <v>1.6726000000000001</v>
      </c>
    </row>
    <row r="134" spans="2:6">
      <c r="B134" t="s">
        <v>122</v>
      </c>
      <c r="C134" s="6">
        <v>-0.1958</v>
      </c>
      <c r="D134" s="6">
        <v>-0.1469</v>
      </c>
      <c r="E134" s="6">
        <v>-0.10059999999999999</v>
      </c>
      <c r="F134" s="6">
        <v>-5.8700000000000002E-2</v>
      </c>
    </row>
    <row r="135" spans="2:6">
      <c r="B135" t="s">
        <v>320</v>
      </c>
      <c r="C135" s="6">
        <v>9.1300000000000006E-2</v>
      </c>
      <c r="D135" s="6">
        <v>4.7E-2</v>
      </c>
      <c r="E135" s="6">
        <v>1.9599999999999999E-2</v>
      </c>
      <c r="F135" s="6">
        <v>-7.1999999999999998E-3</v>
      </c>
    </row>
    <row r="136" spans="2:6">
      <c r="B136" t="s">
        <v>255</v>
      </c>
      <c r="C136" s="6">
        <v>-0.1386</v>
      </c>
      <c r="D136" s="6">
        <v>-9.7799999999999998E-2</v>
      </c>
      <c r="E136" s="6">
        <v>0.02</v>
      </c>
      <c r="F136" s="6">
        <v>3.9800000000000002E-2</v>
      </c>
    </row>
    <row r="137" spans="2:6">
      <c r="B137" t="s">
        <v>37</v>
      </c>
      <c r="C137" s="6">
        <v>0.1275</v>
      </c>
      <c r="D137" s="6">
        <v>8.3000000000000004E-2</v>
      </c>
      <c r="E137" s="6">
        <v>7.3300000000000004E-2</v>
      </c>
      <c r="F137" s="6">
        <v>5.6899999999999999E-2</v>
      </c>
    </row>
    <row r="138" spans="2:6">
      <c r="B138" t="s">
        <v>389</v>
      </c>
      <c r="C138" s="6">
        <v>8.3699999999999997E-2</v>
      </c>
      <c r="D138" s="6">
        <v>0.1278</v>
      </c>
      <c r="E138" s="6">
        <v>-5.4399999999999997E-2</v>
      </c>
      <c r="F138" s="6">
        <v>-0.13739999999999999</v>
      </c>
    </row>
    <row r="139" spans="2:6">
      <c r="B139" t="s">
        <v>271</v>
      </c>
      <c r="C139" s="6">
        <v>4.1000000000000003E-3</v>
      </c>
      <c r="D139" s="6">
        <v>-5.4999999999999997E-3</v>
      </c>
      <c r="E139" s="6">
        <v>-9.2999999999999992E-3</v>
      </c>
      <c r="F139" s="6">
        <v>-3.1300000000000001E-2</v>
      </c>
    </row>
    <row r="140" spans="2:6">
      <c r="B140" t="s">
        <v>234</v>
      </c>
      <c r="C140" s="6">
        <v>6.7299999999999999E-2</v>
      </c>
      <c r="D140" s="6">
        <v>6.4399999999999999E-2</v>
      </c>
      <c r="E140" s="6">
        <v>7.1999999999999995E-2</v>
      </c>
      <c r="F140" s="6">
        <v>6.5000000000000002E-2</v>
      </c>
    </row>
    <row r="141" spans="2:6">
      <c r="B141" t="s">
        <v>272</v>
      </c>
      <c r="C141" s="6">
        <v>0.31690000000000002</v>
      </c>
      <c r="D141" s="6">
        <v>0.30359999999999998</v>
      </c>
      <c r="E141" s="6">
        <v>0.29559999999999997</v>
      </c>
      <c r="F141" s="6">
        <v>0.20710000000000001</v>
      </c>
    </row>
    <row r="142" spans="2:6">
      <c r="B142" t="s">
        <v>159</v>
      </c>
      <c r="C142" s="6">
        <v>4.7600000000000003E-2</v>
      </c>
      <c r="D142" s="6">
        <v>2.4E-2</v>
      </c>
      <c r="E142" s="6">
        <v>3.2000000000000001E-2</v>
      </c>
      <c r="F142" s="6">
        <v>1.8700000000000001E-2</v>
      </c>
    </row>
    <row r="143" spans="2:6">
      <c r="B143" t="s">
        <v>34</v>
      </c>
      <c r="C143" s="6">
        <v>1.32E-2</v>
      </c>
      <c r="D143" s="6">
        <v>4.6399999999999997E-2</v>
      </c>
      <c r="E143" s="6">
        <v>4.9099999999999998E-2</v>
      </c>
      <c r="F143" s="6">
        <v>4.36E-2</v>
      </c>
    </row>
    <row r="144" spans="2:6">
      <c r="B144" t="s">
        <v>214</v>
      </c>
      <c r="C144" s="6">
        <v>0.20319999999999999</v>
      </c>
      <c r="D144" s="6">
        <v>0.1462</v>
      </c>
      <c r="E144" s="6">
        <v>0.15679999999999999</v>
      </c>
      <c r="F144" s="6">
        <v>8.0600000000000005E-2</v>
      </c>
    </row>
    <row r="145" spans="2:6">
      <c r="B145" t="s">
        <v>5</v>
      </c>
      <c r="C145" s="6">
        <v>7.9100000000000004E-2</v>
      </c>
      <c r="D145" s="6">
        <v>0.1099</v>
      </c>
      <c r="E145" s="6">
        <v>0.41889999999999999</v>
      </c>
      <c r="F145" s="6">
        <v>0.34970000000000001</v>
      </c>
    </row>
    <row r="146" spans="2:6">
      <c r="B146" t="s">
        <v>322</v>
      </c>
      <c r="C146" s="6">
        <v>0.01</v>
      </c>
      <c r="D146" s="6">
        <v>6.9099999999999995E-2</v>
      </c>
      <c r="E146" s="6">
        <v>5.79E-2</v>
      </c>
      <c r="F146" s="6">
        <v>3.61E-2</v>
      </c>
    </row>
    <row r="147" spans="2:6">
      <c r="B147" t="s">
        <v>388</v>
      </c>
      <c r="C147" s="6">
        <v>-0.1071</v>
      </c>
      <c r="D147" s="6">
        <v>-0.105</v>
      </c>
      <c r="E147" s="6">
        <v>-4.53E-2</v>
      </c>
      <c r="F147" s="6">
        <v>2.9999999999999997E-4</v>
      </c>
    </row>
    <row r="148" spans="2:6">
      <c r="B148" t="s">
        <v>115</v>
      </c>
      <c r="C148" s="6">
        <v>-0.10249999999999999</v>
      </c>
      <c r="D148" s="6">
        <v>-6.0199999999999997E-2</v>
      </c>
      <c r="E148" s="6">
        <v>-1.1999999999999999E-3</v>
      </c>
      <c r="F148" s="6">
        <v>-8.6E-3</v>
      </c>
    </row>
    <row r="149" spans="2:6">
      <c r="B149" t="s">
        <v>161</v>
      </c>
      <c r="C149" s="6">
        <v>2.98E-2</v>
      </c>
      <c r="D149" s="6">
        <v>-3.1300000000000001E-2</v>
      </c>
      <c r="E149" s="6">
        <v>-3.6999999999999998E-2</v>
      </c>
      <c r="F149" s="6">
        <v>-4.1099999999999998E-2</v>
      </c>
    </row>
    <row r="150" spans="2:6">
      <c r="B150" t="s">
        <v>132</v>
      </c>
      <c r="C150" s="6">
        <v>7.1400000000000005E-2</v>
      </c>
      <c r="D150" s="6">
        <v>7.4099999999999999E-2</v>
      </c>
      <c r="E150" s="6">
        <v>3.7999999999999999E-2</v>
      </c>
      <c r="F150" s="6">
        <v>2.0999999999999999E-3</v>
      </c>
    </row>
    <row r="151" spans="2:6">
      <c r="B151" t="s">
        <v>117</v>
      </c>
      <c r="C151" s="6">
        <v>0.1227</v>
      </c>
      <c r="D151" s="6">
        <v>0.1056</v>
      </c>
      <c r="E151" s="6">
        <v>9.0300000000000005E-2</v>
      </c>
      <c r="F151" s="6">
        <v>7.1199999999999999E-2</v>
      </c>
    </row>
    <row r="152" spans="2:6">
      <c r="B152" t="s">
        <v>84</v>
      </c>
      <c r="C152" s="6">
        <v>7.9200000000000007E-2</v>
      </c>
      <c r="D152" s="6">
        <v>7.0400000000000004E-2</v>
      </c>
      <c r="E152" s="6">
        <v>5.8000000000000003E-2</v>
      </c>
      <c r="F152" s="6">
        <v>3.7999999999999999E-2</v>
      </c>
    </row>
    <row r="153" spans="2:6">
      <c r="B153" t="s">
        <v>288</v>
      </c>
      <c r="C153" s="6">
        <v>-1.9E-3</v>
      </c>
      <c r="D153" s="6">
        <v>-4.6699999999999998E-2</v>
      </c>
      <c r="E153" s="6">
        <v>-1.7100000000000001E-2</v>
      </c>
      <c r="F153" s="6">
        <v>-2.5000000000000001E-3</v>
      </c>
    </row>
    <row r="154" spans="2:6">
      <c r="B154" t="s">
        <v>411</v>
      </c>
      <c r="C154" s="6">
        <v>-7.0599999999999996E-2</v>
      </c>
      <c r="D154" s="6">
        <v>-8.1900000000000001E-2</v>
      </c>
      <c r="E154" s="6">
        <v>-8.5699999999999998E-2</v>
      </c>
      <c r="F154" s="6">
        <v>-7.8799999999999995E-2</v>
      </c>
    </row>
    <row r="155" spans="2:6">
      <c r="B155" t="s">
        <v>170</v>
      </c>
      <c r="C155" s="6">
        <v>-5.8400000000000001E-2</v>
      </c>
      <c r="D155" s="6">
        <v>-0.1033</v>
      </c>
      <c r="E155" s="6">
        <v>-4.8099999999999997E-2</v>
      </c>
      <c r="F155" s="6">
        <v>-6.8199999999999997E-2</v>
      </c>
    </row>
    <row r="156" spans="2:6">
      <c r="B156" t="s">
        <v>225</v>
      </c>
      <c r="C156" s="6">
        <v>0.60109999999999997</v>
      </c>
      <c r="D156" s="6">
        <v>0.4138</v>
      </c>
      <c r="E156" s="6">
        <v>0.13250000000000001</v>
      </c>
      <c r="F156" s="6">
        <v>9.9000000000000005E-2</v>
      </c>
    </row>
    <row r="157" spans="2:6">
      <c r="B157" t="s">
        <v>195</v>
      </c>
      <c r="C157" s="6">
        <v>-8.8000000000000005E-3</v>
      </c>
      <c r="D157" s="6">
        <v>-2.47E-2</v>
      </c>
      <c r="E157" s="6">
        <v>-1.7399999999999999E-2</v>
      </c>
      <c r="F157" s="6">
        <v>-2.2100000000000002E-2</v>
      </c>
    </row>
    <row r="158" spans="2:6">
      <c r="B158" t="s">
        <v>319</v>
      </c>
      <c r="C158" s="6">
        <v>-2.2499999999999999E-2</v>
      </c>
      <c r="D158" s="6">
        <v>1.1599999999999999E-2</v>
      </c>
      <c r="E158" s="6">
        <v>2.3800000000000002E-2</v>
      </c>
      <c r="F158" s="6">
        <v>3.7000000000000002E-3</v>
      </c>
    </row>
    <row r="159" spans="2:6">
      <c r="B159" t="s">
        <v>813</v>
      </c>
      <c r="C159" s="6">
        <v>7.2999999999999995E-2</v>
      </c>
      <c r="D159" s="6">
        <v>6.0199999999999997E-2</v>
      </c>
      <c r="E159" s="6">
        <v>2E-3</v>
      </c>
      <c r="F159" s="6">
        <v>2.58E-2</v>
      </c>
    </row>
    <row r="160" spans="2:6">
      <c r="B160" t="s">
        <v>148</v>
      </c>
      <c r="C160" s="6">
        <v>6.4100000000000004E-2</v>
      </c>
      <c r="D160" s="6">
        <v>6.54E-2</v>
      </c>
      <c r="E160" s="6">
        <v>7.8700000000000006E-2</v>
      </c>
      <c r="F160" s="6">
        <v>3.3700000000000001E-2</v>
      </c>
    </row>
    <row r="161" spans="2:6">
      <c r="B161" t="s">
        <v>88</v>
      </c>
      <c r="C161" s="6">
        <v>3.4099999999999998E-2</v>
      </c>
      <c r="D161" s="6">
        <v>1.7399999999999999E-2</v>
      </c>
      <c r="E161" s="6">
        <v>3.3799999999999997E-2</v>
      </c>
      <c r="F161" s="6">
        <v>7.0499999999999993E-2</v>
      </c>
    </row>
    <row r="162" spans="2:6">
      <c r="B162" t="s">
        <v>297</v>
      </c>
      <c r="C162" s="6">
        <v>0.28539999999999999</v>
      </c>
      <c r="D162" s="6">
        <v>0.3347</v>
      </c>
      <c r="E162" s="6">
        <v>0.35620000000000002</v>
      </c>
      <c r="F162" s="6">
        <v>0.29260000000000003</v>
      </c>
    </row>
    <row r="163" spans="2:6">
      <c r="B163" t="s">
        <v>377</v>
      </c>
      <c r="C163" s="6">
        <v>-7.46E-2</v>
      </c>
      <c r="D163" s="6">
        <v>-0.11700000000000001</v>
      </c>
      <c r="E163" s="6">
        <v>-1.4E-2</v>
      </c>
      <c r="F163" s="6">
        <v>1.5100000000000001E-2</v>
      </c>
    </row>
    <row r="164" spans="2:6">
      <c r="B164" t="s">
        <v>818</v>
      </c>
      <c r="C164" s="6">
        <v>0.30809999999999998</v>
      </c>
      <c r="D164" s="6">
        <v>0.28349999999999997</v>
      </c>
      <c r="E164" s="6">
        <v>0.19289999999999999</v>
      </c>
      <c r="F164" s="6">
        <v>3.04E-2</v>
      </c>
    </row>
    <row r="165" spans="2:6">
      <c r="B165" t="s">
        <v>213</v>
      </c>
      <c r="C165" s="6">
        <v>0.75949999999999995</v>
      </c>
      <c r="D165" s="6">
        <v>0.51459999999999995</v>
      </c>
      <c r="E165" s="6">
        <v>0.42120000000000002</v>
      </c>
      <c r="F165" s="6">
        <v>0.47260000000000002</v>
      </c>
    </row>
    <row r="166" spans="2:6">
      <c r="B166" t="s">
        <v>290</v>
      </c>
      <c r="C166" s="6">
        <v>0.73680000000000001</v>
      </c>
      <c r="D166" s="6">
        <v>0.1363</v>
      </c>
      <c r="E166" s="6">
        <v>0.1552</v>
      </c>
      <c r="F166" s="6">
        <v>0.18260000000000001</v>
      </c>
    </row>
    <row r="167" spans="2:6">
      <c r="B167" t="s">
        <v>504</v>
      </c>
      <c r="C167" s="6">
        <v>-0.12470000000000001</v>
      </c>
      <c r="D167" s="6">
        <v>-0.28370000000000001</v>
      </c>
      <c r="E167" s="6">
        <v>-0.32429999999999998</v>
      </c>
      <c r="F167" s="6">
        <v>0.92679999999999996</v>
      </c>
    </row>
    <row r="168" spans="2:6">
      <c r="B168" t="s">
        <v>123</v>
      </c>
      <c r="C168" s="6">
        <v>0.1978</v>
      </c>
      <c r="D168" s="6">
        <v>0.1226</v>
      </c>
      <c r="E168" s="6">
        <v>0.11509999999999999</v>
      </c>
      <c r="F168" s="6">
        <v>8.7400000000000005E-2</v>
      </c>
    </row>
    <row r="169" spans="2:6">
      <c r="B169" t="s">
        <v>50</v>
      </c>
      <c r="C169" s="6">
        <v>-0.1128</v>
      </c>
      <c r="D169" s="6">
        <v>-1.0999999999999999E-2</v>
      </c>
      <c r="E169" s="6">
        <v>5.9400000000000001E-2</v>
      </c>
      <c r="F169" s="6">
        <v>7.0599999999999996E-2</v>
      </c>
    </row>
    <row r="170" spans="2:6">
      <c r="B170" t="s">
        <v>198</v>
      </c>
      <c r="C170" s="6">
        <v>0.18090000000000001</v>
      </c>
      <c r="D170" s="6">
        <v>0.11940000000000001</v>
      </c>
      <c r="E170" s="6">
        <v>0.25890000000000002</v>
      </c>
      <c r="F170" s="6">
        <v>5.28E-2</v>
      </c>
    </row>
    <row r="171" spans="2:6">
      <c r="B171" t="s">
        <v>70</v>
      </c>
      <c r="C171" s="6">
        <v>19.7575</v>
      </c>
      <c r="D171" s="6">
        <v>0.36499999999999999</v>
      </c>
      <c r="E171" s="6">
        <v>0.4778</v>
      </c>
      <c r="F171" s="6">
        <v>-2.18E-2</v>
      </c>
    </row>
    <row r="172" spans="2:6">
      <c r="B172" t="s">
        <v>112</v>
      </c>
      <c r="C172" s="6">
        <v>-1.21E-2</v>
      </c>
      <c r="D172" s="6">
        <v>-3.4700000000000002E-2</v>
      </c>
      <c r="E172" s="6">
        <v>4.3700000000000003E-2</v>
      </c>
      <c r="F172" s="6">
        <v>3.2000000000000002E-3</v>
      </c>
    </row>
    <row r="173" spans="2:6">
      <c r="B173" t="s">
        <v>378</v>
      </c>
      <c r="C173" s="6">
        <v>0.32340000000000002</v>
      </c>
      <c r="D173" s="6">
        <v>0.31190000000000001</v>
      </c>
      <c r="E173" s="6">
        <v>-9.6500000000000002E-2</v>
      </c>
      <c r="F173" s="6">
        <v>1.61E-2</v>
      </c>
    </row>
    <row r="174" spans="2:6">
      <c r="B174" t="s">
        <v>231</v>
      </c>
      <c r="C174" s="6">
        <v>0.2117</v>
      </c>
      <c r="D174" s="6">
        <v>9.9599999999999994E-2</v>
      </c>
      <c r="E174" s="6">
        <v>-0.1105</v>
      </c>
      <c r="F174" s="6">
        <v>-0.2225</v>
      </c>
    </row>
    <row r="175" spans="2:6">
      <c r="B175" t="s">
        <v>505</v>
      </c>
      <c r="C175" s="6">
        <v>5.7000000000000002E-3</v>
      </c>
      <c r="D175" s="6">
        <v>-1.11E-2</v>
      </c>
      <c r="E175" s="6">
        <v>5.2499999999999998E-2</v>
      </c>
      <c r="F175" s="6">
        <v>1.06E-2</v>
      </c>
    </row>
    <row r="176" spans="2:6">
      <c r="B176" t="s">
        <v>83</v>
      </c>
      <c r="C176" s="6">
        <v>0.1177</v>
      </c>
      <c r="D176" s="6">
        <v>0.10829999999999999</v>
      </c>
      <c r="E176" s="6">
        <v>9.7900000000000001E-2</v>
      </c>
      <c r="F176" s="6">
        <v>9.8100000000000007E-2</v>
      </c>
    </row>
    <row r="177" spans="2:6">
      <c r="B177" t="s">
        <v>80</v>
      </c>
      <c r="C177" s="6">
        <v>0.23799999999999999</v>
      </c>
      <c r="D177" s="6">
        <v>0.3795</v>
      </c>
      <c r="E177" s="6">
        <v>0.36330000000000001</v>
      </c>
      <c r="F177" s="6">
        <v>0.32750000000000001</v>
      </c>
    </row>
    <row r="178" spans="2:6">
      <c r="B178" t="s">
        <v>164</v>
      </c>
      <c r="C178" s="6">
        <v>0.1923</v>
      </c>
      <c r="D178" s="6">
        <v>0.24840000000000001</v>
      </c>
      <c r="E178" s="6">
        <v>0.16930000000000001</v>
      </c>
      <c r="F178" s="6">
        <v>0.1163</v>
      </c>
    </row>
    <row r="179" spans="2:6">
      <c r="B179" t="s">
        <v>286</v>
      </c>
      <c r="C179" s="6">
        <v>8.2400000000000001E-2</v>
      </c>
      <c r="D179" s="6">
        <v>2.52E-2</v>
      </c>
      <c r="E179" s="6">
        <v>2.4E-2</v>
      </c>
      <c r="F179" s="6">
        <v>3.2099999999999997E-2</v>
      </c>
    </row>
    <row r="180" spans="2:6">
      <c r="B180" t="s">
        <v>166</v>
      </c>
      <c r="C180" s="6">
        <v>0.22339999999999999</v>
      </c>
      <c r="D180" s="6">
        <v>0.17879999999999999</v>
      </c>
      <c r="E180" s="6">
        <v>0.13370000000000001</v>
      </c>
      <c r="F180" s="6">
        <v>4.7300000000000002E-2</v>
      </c>
    </row>
    <row r="181" spans="2:6">
      <c r="B181" t="s">
        <v>266</v>
      </c>
      <c r="C181" s="6">
        <v>0.10440000000000001</v>
      </c>
      <c r="D181" s="6">
        <v>0.124</v>
      </c>
      <c r="E181" s="6">
        <v>0.17630000000000001</v>
      </c>
      <c r="F181" s="6">
        <v>0.15840000000000001</v>
      </c>
    </row>
    <row r="182" spans="2:6">
      <c r="B182" t="s">
        <v>156</v>
      </c>
      <c r="C182" s="6">
        <v>3.1E-2</v>
      </c>
      <c r="D182" s="6">
        <v>4.1300000000000003E-2</v>
      </c>
      <c r="E182" s="6">
        <v>4.3400000000000001E-2</v>
      </c>
      <c r="F182" s="6">
        <v>5.0200000000000002E-2</v>
      </c>
    </row>
    <row r="183" spans="2:6">
      <c r="B183" t="s">
        <v>82</v>
      </c>
      <c r="C183" s="6">
        <v>0.12429999999999999</v>
      </c>
      <c r="D183" s="6">
        <v>8.2699999999999996E-2</v>
      </c>
      <c r="E183" s="6">
        <v>5.6899999999999999E-2</v>
      </c>
      <c r="F183" s="6">
        <v>5.4600000000000003E-2</v>
      </c>
    </row>
    <row r="184" spans="2:6">
      <c r="B184" t="s">
        <v>78</v>
      </c>
      <c r="C184" s="6">
        <v>2.8400000000000002E-2</v>
      </c>
      <c r="D184" s="6">
        <v>0.04</v>
      </c>
      <c r="E184" s="6">
        <v>-1.5699999999999999E-2</v>
      </c>
      <c r="F184" s="6">
        <v>-1.41E-2</v>
      </c>
    </row>
    <row r="185" spans="2:6">
      <c r="B185" t="s">
        <v>203</v>
      </c>
      <c r="C185" s="6">
        <v>0.1118</v>
      </c>
      <c r="D185" s="6">
        <v>0.1164</v>
      </c>
      <c r="E185" s="6">
        <v>0.11070000000000001</v>
      </c>
      <c r="F185" s="6">
        <v>6.8099999999999994E-2</v>
      </c>
    </row>
    <row r="186" spans="2:6">
      <c r="B186" t="s">
        <v>197</v>
      </c>
      <c r="C186" s="6">
        <v>6.4600000000000005E-2</v>
      </c>
      <c r="D186" s="6">
        <v>1.23E-2</v>
      </c>
      <c r="E186" s="6">
        <v>-4.8999999999999998E-3</v>
      </c>
      <c r="F186" s="6">
        <v>-3.44E-2</v>
      </c>
    </row>
    <row r="187" spans="2:6">
      <c r="B187" t="s">
        <v>87</v>
      </c>
      <c r="C187" s="6">
        <v>1.5138</v>
      </c>
      <c r="D187" s="6">
        <v>1.34</v>
      </c>
      <c r="E187" s="6">
        <v>1.2907999999999999</v>
      </c>
      <c r="F187" s="6">
        <v>1.2907999999999999</v>
      </c>
    </row>
    <row r="188" spans="2:6">
      <c r="B188" t="s">
        <v>73</v>
      </c>
      <c r="C188" s="6">
        <v>0.1095</v>
      </c>
      <c r="D188" s="6">
        <v>0.10589999999999999</v>
      </c>
      <c r="E188" s="6">
        <v>0.14910000000000001</v>
      </c>
      <c r="F188" s="6">
        <v>0.16339999999999999</v>
      </c>
    </row>
    <row r="189" spans="2:6">
      <c r="B189" t="s">
        <v>15</v>
      </c>
      <c r="C189" s="6">
        <v>9.3100000000000002E-2</v>
      </c>
      <c r="D189" s="6">
        <v>7.2900000000000006E-2</v>
      </c>
      <c r="E189" s="6">
        <v>0.11269999999999999</v>
      </c>
      <c r="F189" s="6">
        <v>0.1396</v>
      </c>
    </row>
    <row r="190" spans="2:6">
      <c r="B190" t="s">
        <v>44</v>
      </c>
      <c r="C190" s="6">
        <v>-0.21249999999999999</v>
      </c>
      <c r="D190" s="6">
        <v>-3.5000000000000003E-2</v>
      </c>
      <c r="E190" s="6">
        <v>0.1103</v>
      </c>
      <c r="F190" s="6">
        <v>7.0699999999999999E-2</v>
      </c>
    </row>
    <row r="191" spans="2:6">
      <c r="B191" t="s">
        <v>313</v>
      </c>
      <c r="C191" s="6">
        <v>0.16109999999999999</v>
      </c>
      <c r="D191" s="6">
        <v>0.1323</v>
      </c>
      <c r="E191" s="6">
        <v>9.7600000000000006E-2</v>
      </c>
      <c r="F191" s="6">
        <v>6.5699999999999995E-2</v>
      </c>
    </row>
    <row r="192" spans="2:6">
      <c r="B192" t="s">
        <v>85</v>
      </c>
      <c r="C192" s="6">
        <v>-6.8500000000000005E-2</v>
      </c>
      <c r="D192" s="6">
        <v>-7.8E-2</v>
      </c>
      <c r="E192" s="6">
        <v>-1.9800000000000002E-2</v>
      </c>
      <c r="F192" s="6">
        <v>-3.5999999999999997E-2</v>
      </c>
    </row>
    <row r="193" spans="2:6">
      <c r="B193" t="s">
        <v>310</v>
      </c>
      <c r="C193" s="6">
        <v>-2.5499999999999998E-2</v>
      </c>
      <c r="D193" s="6">
        <v>-6.4199999999999993E-2</v>
      </c>
      <c r="E193" s="6">
        <v>-6.8599999999999994E-2</v>
      </c>
      <c r="F193" s="6">
        <v>6.7000000000000002E-3</v>
      </c>
    </row>
    <row r="194" spans="2:6">
      <c r="B194" t="s">
        <v>140</v>
      </c>
      <c r="C194" s="6">
        <v>3.3500000000000002E-2</v>
      </c>
      <c r="D194" s="6">
        <v>1.3599999999999999E-2</v>
      </c>
      <c r="E194" s="6">
        <v>4.36E-2</v>
      </c>
      <c r="F194" s="6">
        <v>2.29E-2</v>
      </c>
    </row>
    <row r="195" spans="2:6">
      <c r="B195" t="s">
        <v>9</v>
      </c>
      <c r="C195" s="6">
        <v>-6.8999999999999999E-3</v>
      </c>
      <c r="D195" s="6">
        <v>1.7399999999999999E-2</v>
      </c>
      <c r="E195" s="6">
        <v>-5.5E-2</v>
      </c>
      <c r="F195" s="6">
        <v>-3.0800000000000001E-2</v>
      </c>
    </row>
    <row r="196" spans="2:6">
      <c r="B196" t="s">
        <v>810</v>
      </c>
      <c r="C196" s="6">
        <v>0.42959999999999998</v>
      </c>
      <c r="D196" s="6">
        <v>0.2132</v>
      </c>
      <c r="E196" s="6">
        <v>0.17660000000000001</v>
      </c>
      <c r="F196" s="6">
        <v>0.1215</v>
      </c>
    </row>
    <row r="197" spans="2:6">
      <c r="B197" t="s">
        <v>309</v>
      </c>
      <c r="C197" s="6">
        <v>7.5999999999999998E-2</v>
      </c>
      <c r="D197" s="6">
        <v>1.1599999999999999E-2</v>
      </c>
      <c r="E197" s="6">
        <v>5.4300000000000001E-2</v>
      </c>
      <c r="F197" s="6">
        <v>3.7000000000000002E-3</v>
      </c>
    </row>
    <row r="198" spans="2:6">
      <c r="B198" t="s">
        <v>307</v>
      </c>
      <c r="C198" s="6">
        <v>-3.9899999999999998E-2</v>
      </c>
      <c r="D198" s="6">
        <v>2.9399999999999999E-2</v>
      </c>
      <c r="E198" s="6">
        <v>1.37E-2</v>
      </c>
      <c r="F198" s="6">
        <v>-3.2599999999999997E-2</v>
      </c>
    </row>
    <row r="199" spans="2:6">
      <c r="B199" t="s">
        <v>105</v>
      </c>
      <c r="C199" s="6">
        <v>0.1283</v>
      </c>
      <c r="D199" s="6">
        <v>0.10009999999999999</v>
      </c>
      <c r="E199" s="6">
        <v>0.1295</v>
      </c>
      <c r="F199" s="6">
        <v>2.6599999999999999E-2</v>
      </c>
    </row>
    <row r="200" spans="2:6">
      <c r="B200" t="s">
        <v>4</v>
      </c>
      <c r="C200" s="6">
        <v>0.25030000000000002</v>
      </c>
      <c r="D200" s="6">
        <v>0.14899999999999999</v>
      </c>
      <c r="E200" s="6">
        <v>0.1502</v>
      </c>
      <c r="F200" s="6">
        <v>2.7699999999999999E-2</v>
      </c>
    </row>
    <row r="201" spans="2:6">
      <c r="B201" t="s">
        <v>157</v>
      </c>
      <c r="C201" s="6">
        <v>0.12189999999999999</v>
      </c>
      <c r="D201" s="6">
        <v>2.0799999999999999E-2</v>
      </c>
      <c r="E201" s="6">
        <v>-0.1263</v>
      </c>
      <c r="F201" s="6">
        <v>-0.16969999999999999</v>
      </c>
    </row>
    <row r="202" spans="2:6">
      <c r="B202" t="s">
        <v>110</v>
      </c>
      <c r="C202" s="6">
        <v>-2.9700000000000001E-2</v>
      </c>
      <c r="D202" s="6">
        <v>-4.5699999999999998E-2</v>
      </c>
      <c r="E202" s="6">
        <v>-5.1200000000000002E-2</v>
      </c>
      <c r="F202" s="6">
        <v>-0.11020000000000001</v>
      </c>
    </row>
    <row r="203" spans="2:6">
      <c r="B203" t="s">
        <v>822</v>
      </c>
      <c r="C203" s="6">
        <v>4.82E-2</v>
      </c>
      <c r="D203" s="6">
        <v>8.3999999999999995E-3</v>
      </c>
      <c r="E203" s="6">
        <v>-6.6500000000000004E-2</v>
      </c>
      <c r="F203" s="6">
        <v>-3.6900000000000002E-2</v>
      </c>
    </row>
    <row r="204" spans="2:6">
      <c r="B204" t="s">
        <v>135</v>
      </c>
      <c r="C204" s="6">
        <v>0.15090000000000001</v>
      </c>
      <c r="D204" s="6">
        <v>0.10440000000000001</v>
      </c>
      <c r="E204" s="6">
        <v>0.10050000000000001</v>
      </c>
      <c r="F204" s="6">
        <v>0.1081</v>
      </c>
    </row>
    <row r="205" spans="2:6">
      <c r="B205" t="s">
        <v>420</v>
      </c>
      <c r="C205" s="6">
        <v>8.9399999999999993E-2</v>
      </c>
      <c r="D205" s="6">
        <v>7.9799999999999996E-2</v>
      </c>
      <c r="E205" s="6">
        <v>5.6500000000000002E-2</v>
      </c>
      <c r="F205" s="6">
        <v>4.0599999999999997E-2</v>
      </c>
    </row>
    <row r="206" spans="2:6">
      <c r="B206" t="s">
        <v>262</v>
      </c>
      <c r="C206" s="6">
        <v>1.38E-2</v>
      </c>
      <c r="D206" s="6">
        <v>5.7999999999999996E-3</v>
      </c>
      <c r="E206" s="6">
        <v>-3.5499999999999997E-2</v>
      </c>
      <c r="F206" s="6">
        <v>-3.09E-2</v>
      </c>
    </row>
    <row r="207" spans="2:6">
      <c r="B207" t="s">
        <v>10</v>
      </c>
      <c r="C207" s="6">
        <v>3.7499999999999999E-2</v>
      </c>
      <c r="D207" s="6">
        <v>9.3600000000000003E-2</v>
      </c>
      <c r="E207" s="6">
        <v>9.1200000000000003E-2</v>
      </c>
      <c r="F207" s="6">
        <v>9.5299999999999996E-2</v>
      </c>
    </row>
    <row r="208" spans="2:6">
      <c r="B208" t="s">
        <v>75</v>
      </c>
      <c r="C208" s="6">
        <v>0.16120000000000001</v>
      </c>
      <c r="D208" s="6">
        <v>0.12479999999999999</v>
      </c>
      <c r="E208" s="6">
        <v>8.8700000000000001E-2</v>
      </c>
      <c r="F208" s="6">
        <v>5.4600000000000003E-2</v>
      </c>
    </row>
    <row r="209" spans="2:6">
      <c r="B209" t="s">
        <v>81</v>
      </c>
      <c r="C209" s="6">
        <v>9.0499999999999997E-2</v>
      </c>
      <c r="D209" s="6">
        <v>3.2300000000000002E-2</v>
      </c>
      <c r="E209" s="6">
        <v>-1.67E-2</v>
      </c>
      <c r="F209" s="6">
        <v>-8.3000000000000004E-2</v>
      </c>
    </row>
    <row r="210" spans="2:6">
      <c r="B210" t="s">
        <v>74</v>
      </c>
      <c r="C210" s="6">
        <v>0.14369999999999999</v>
      </c>
      <c r="D210" s="6">
        <v>0.1482</v>
      </c>
      <c r="E210" s="6">
        <v>0.1507</v>
      </c>
      <c r="F210" s="6">
        <v>0.1229</v>
      </c>
    </row>
    <row r="211" spans="2:6">
      <c r="B211" t="s">
        <v>809</v>
      </c>
      <c r="C211" s="6">
        <v>4.7300000000000002E-2</v>
      </c>
      <c r="D211" s="6">
        <v>2.4400000000000002E-2</v>
      </c>
      <c r="E211" s="6">
        <v>2.7300000000000001E-2</v>
      </c>
      <c r="F211" s="6">
        <v>4.7300000000000002E-2</v>
      </c>
    </row>
    <row r="212" spans="2:6">
      <c r="B212" t="s">
        <v>162</v>
      </c>
      <c r="C212" s="6">
        <v>0.32100000000000001</v>
      </c>
      <c r="D212" s="6">
        <v>0.34179999999999999</v>
      </c>
      <c r="E212" s="6">
        <v>4.36E-2</v>
      </c>
      <c r="F212" s="6">
        <v>-8.7800000000000003E-2</v>
      </c>
    </row>
    <row r="213" spans="2:6">
      <c r="B213" t="s">
        <v>241</v>
      </c>
      <c r="C213" s="6">
        <v>4.2200000000000001E-2</v>
      </c>
      <c r="D213" s="6">
        <v>-4.7800000000000002E-2</v>
      </c>
      <c r="E213" s="6">
        <v>-9.4299999999999995E-2</v>
      </c>
      <c r="F213" s="6">
        <v>4.4000000000000003E-3</v>
      </c>
    </row>
    <row r="214" spans="2:6">
      <c r="B214" t="s">
        <v>289</v>
      </c>
      <c r="C214" s="6">
        <v>6.7000000000000004E-2</v>
      </c>
      <c r="D214" s="6">
        <v>7.9399999999999998E-2</v>
      </c>
      <c r="E214" s="6">
        <v>-3.1E-2</v>
      </c>
      <c r="F214" s="6">
        <v>7.2800000000000004E-2</v>
      </c>
    </row>
    <row r="215" spans="2:6">
      <c r="B215" t="s">
        <v>196</v>
      </c>
      <c r="C215" s="6">
        <v>0.18609999999999999</v>
      </c>
      <c r="D215" s="6">
        <v>0.16669999999999999</v>
      </c>
      <c r="E215" s="6">
        <v>0.1186</v>
      </c>
      <c r="F215" s="6">
        <v>0.12509999999999999</v>
      </c>
    </row>
    <row r="216" spans="2:6">
      <c r="B216" t="s">
        <v>210</v>
      </c>
      <c r="C216" s="6">
        <v>0.27879999999999999</v>
      </c>
      <c r="D216" s="6">
        <v>0.26190000000000002</v>
      </c>
      <c r="E216" s="6">
        <v>0.2114</v>
      </c>
      <c r="F216" s="6">
        <v>0.1492</v>
      </c>
    </row>
    <row r="217" spans="2:6">
      <c r="B217" t="s">
        <v>232</v>
      </c>
      <c r="C217" s="6">
        <v>0.16880000000000001</v>
      </c>
      <c r="D217" s="6">
        <v>0.13930000000000001</v>
      </c>
      <c r="E217" s="6">
        <v>0.1056</v>
      </c>
      <c r="F217" s="6">
        <v>4.7699999999999999E-2</v>
      </c>
    </row>
    <row r="218" spans="2:6">
      <c r="B218" t="s">
        <v>410</v>
      </c>
      <c r="C218" s="6">
        <v>0.27379999999999999</v>
      </c>
      <c r="D218" s="6">
        <v>0.2041</v>
      </c>
      <c r="E218" s="6">
        <v>0.1668</v>
      </c>
      <c r="F218" s="6">
        <v>0.14460000000000001</v>
      </c>
    </row>
    <row r="219" spans="2:6">
      <c r="B219" t="s">
        <v>181</v>
      </c>
      <c r="C219" s="6">
        <v>0.1522</v>
      </c>
      <c r="D219" s="6">
        <v>0.12540000000000001</v>
      </c>
      <c r="E219" s="6">
        <v>0.12720000000000001</v>
      </c>
      <c r="F219" s="6">
        <v>0.13719999999999999</v>
      </c>
    </row>
    <row r="220" spans="2:6">
      <c r="B220" t="s">
        <v>33</v>
      </c>
      <c r="C220" s="6">
        <v>0.1948</v>
      </c>
      <c r="D220" s="6">
        <v>0.16769999999999999</v>
      </c>
      <c r="E220" s="6">
        <v>0.1431</v>
      </c>
      <c r="F220" s="6">
        <v>0.12889999999999999</v>
      </c>
    </row>
    <row r="221" spans="2:6">
      <c r="B221" t="s">
        <v>298</v>
      </c>
      <c r="C221" s="6">
        <v>-0.30840000000000001</v>
      </c>
      <c r="D221" s="6">
        <v>-0.11940000000000001</v>
      </c>
      <c r="E221" s="6">
        <v>-4.6100000000000002E-2</v>
      </c>
      <c r="F221" s="6">
        <v>-8.6999999999999994E-3</v>
      </c>
    </row>
    <row r="222" spans="2:6">
      <c r="B222" t="s">
        <v>49</v>
      </c>
      <c r="C222" s="6">
        <v>0.15229999999999999</v>
      </c>
      <c r="D222" s="6">
        <v>0.11210000000000001</v>
      </c>
      <c r="E222" s="6">
        <v>9.3299999999999994E-2</v>
      </c>
      <c r="F222" s="6">
        <v>0.1062</v>
      </c>
    </row>
    <row r="223" spans="2:6">
      <c r="B223" t="s">
        <v>190</v>
      </c>
      <c r="C223" s="6">
        <v>0.15079999999999999</v>
      </c>
      <c r="D223" s="6">
        <v>6.7900000000000002E-2</v>
      </c>
      <c r="E223" s="6">
        <v>3.2800000000000003E-2</v>
      </c>
      <c r="F223" s="6">
        <v>9.4999999999999998E-3</v>
      </c>
    </row>
    <row r="224" spans="2:6">
      <c r="B224" t="s">
        <v>184</v>
      </c>
      <c r="C224" s="6">
        <v>-9.5799999999999996E-2</v>
      </c>
      <c r="D224" s="6">
        <v>-0.11990000000000001</v>
      </c>
      <c r="E224" s="6">
        <v>-0.1133</v>
      </c>
      <c r="F224" s="6">
        <v>-8.5800000000000001E-2</v>
      </c>
    </row>
    <row r="225" spans="2:6">
      <c r="B225" t="s">
        <v>451</v>
      </c>
      <c r="C225" s="6">
        <v>0.15240000000000001</v>
      </c>
      <c r="D225" s="6">
        <v>0.21329999999999999</v>
      </c>
      <c r="E225" s="6">
        <v>0.2097</v>
      </c>
      <c r="F225" s="6">
        <v>0.18909999999999999</v>
      </c>
    </row>
    <row r="226" spans="2:6">
      <c r="B226" t="s">
        <v>812</v>
      </c>
      <c r="C226" s="6">
        <v>0.1125</v>
      </c>
      <c r="D226" s="6">
        <v>6.93E-2</v>
      </c>
      <c r="E226" s="6">
        <v>5.0599999999999999E-2</v>
      </c>
      <c r="F226" s="6">
        <v>5.1799999999999999E-2</v>
      </c>
    </row>
    <row r="227" spans="2:6">
      <c r="B227" t="s">
        <v>38</v>
      </c>
      <c r="C227" s="6">
        <v>1.0337000000000001</v>
      </c>
      <c r="D227" s="6">
        <v>0.22140000000000001</v>
      </c>
      <c r="E227" s="6">
        <v>0.1454</v>
      </c>
      <c r="F227" s="6">
        <v>1.5800000000000002E-2</v>
      </c>
    </row>
    <row r="228" spans="2:6">
      <c r="B228" t="s">
        <v>816</v>
      </c>
      <c r="C228" s="6">
        <v>0.1278</v>
      </c>
      <c r="D228" s="6">
        <v>2.9399999999999999E-2</v>
      </c>
      <c r="E228" s="6">
        <v>-2.8400000000000002E-2</v>
      </c>
      <c r="F228" s="6">
        <v>-5.57E-2</v>
      </c>
    </row>
    <row r="229" spans="2:6">
      <c r="B229" t="s">
        <v>29</v>
      </c>
      <c r="C229" s="6">
        <v>1.9199999999999998E-2</v>
      </c>
      <c r="D229" s="6">
        <v>-0.15540000000000001</v>
      </c>
      <c r="E229" s="6">
        <v>-0.3327</v>
      </c>
      <c r="F229" s="6">
        <v>-0.26100000000000001</v>
      </c>
    </row>
    <row r="230" spans="2:6">
      <c r="B230" t="s">
        <v>43</v>
      </c>
      <c r="C230" s="6">
        <v>0.45090000000000002</v>
      </c>
      <c r="D230" s="6">
        <v>0.29099999999999998</v>
      </c>
      <c r="E230" s="6">
        <v>7.5300000000000006E-2</v>
      </c>
      <c r="F230" s="6">
        <v>-9.2999999999999992E-3</v>
      </c>
    </row>
    <row r="231" spans="2:6">
      <c r="B231" t="s">
        <v>240</v>
      </c>
      <c r="C231" s="6">
        <v>8.5199999999999998E-2</v>
      </c>
      <c r="D231" s="6">
        <v>6.6000000000000003E-2</v>
      </c>
      <c r="E231" s="6">
        <v>1.6799999999999999E-2</v>
      </c>
      <c r="F231" s="6">
        <v>-6.0400000000000002E-2</v>
      </c>
    </row>
    <row r="232" spans="2:6">
      <c r="B232" t="s">
        <v>291</v>
      </c>
      <c r="C232" s="6">
        <v>0.16489999999999999</v>
      </c>
      <c r="D232" s="6">
        <v>1.9024000000000001</v>
      </c>
      <c r="E232" s="6">
        <v>1.7583</v>
      </c>
      <c r="F232" s="6">
        <v>1.4964999999999999</v>
      </c>
    </row>
    <row r="233" spans="2:6">
      <c r="B233" t="s">
        <v>284</v>
      </c>
      <c r="C233" s="6">
        <v>3.9699999999999999E-2</v>
      </c>
      <c r="D233" s="6">
        <v>5.4999999999999997E-3</v>
      </c>
      <c r="E233" s="6">
        <v>1.7999999999999999E-2</v>
      </c>
      <c r="F233" s="6">
        <v>6.9400000000000003E-2</v>
      </c>
    </row>
    <row r="234" spans="2:6">
      <c r="B234" t="s">
        <v>331</v>
      </c>
      <c r="C234" s="6">
        <v>0.2109</v>
      </c>
      <c r="D234" s="6">
        <v>0.13780000000000001</v>
      </c>
      <c r="E234" s="6">
        <v>9.8100000000000007E-2</v>
      </c>
      <c r="F234" s="6">
        <v>0.10199999999999999</v>
      </c>
    </row>
    <row r="235" spans="2:6">
      <c r="B235" t="s">
        <v>285</v>
      </c>
      <c r="C235" s="6">
        <v>0.14710000000000001</v>
      </c>
      <c r="D235" s="6">
        <v>0.14760000000000001</v>
      </c>
      <c r="E235" s="6">
        <v>0.15240000000000001</v>
      </c>
      <c r="F235" s="6">
        <v>0.1555</v>
      </c>
    </row>
    <row r="236" spans="2:6">
      <c r="B236" t="s">
        <v>62</v>
      </c>
      <c r="C236" s="6">
        <v>0.1182</v>
      </c>
      <c r="D236" s="6">
        <v>6.5199999999999994E-2</v>
      </c>
      <c r="E236" s="6">
        <v>8.5000000000000006E-3</v>
      </c>
      <c r="F236" s="6">
        <v>-6.0900000000000003E-2</v>
      </c>
    </row>
    <row r="237" spans="2:6">
      <c r="B237" t="s">
        <v>218</v>
      </c>
      <c r="C237" s="6">
        <v>0.15010000000000001</v>
      </c>
      <c r="D237" s="6">
        <v>0.10630000000000001</v>
      </c>
      <c r="E237" s="6">
        <v>0.10879999999999999</v>
      </c>
      <c r="F237" s="6">
        <v>4.9299999999999997E-2</v>
      </c>
    </row>
    <row r="238" spans="2:6">
      <c r="B238" t="s">
        <v>211</v>
      </c>
      <c r="C238" s="6">
        <v>-6.5100000000000005E-2</v>
      </c>
      <c r="D238" s="6">
        <v>-1.8700000000000001E-2</v>
      </c>
      <c r="E238" s="6">
        <v>-6.8999999999999999E-3</v>
      </c>
      <c r="F238" s="6">
        <v>3.2099999999999997E-2</v>
      </c>
    </row>
    <row r="239" spans="2:6">
      <c r="B239" t="s">
        <v>242</v>
      </c>
      <c r="C239" s="6">
        <v>-1.7500000000000002E-2</v>
      </c>
      <c r="D239" s="6">
        <v>-4.2900000000000001E-2</v>
      </c>
      <c r="E239" s="6">
        <v>-2.4799999999999999E-2</v>
      </c>
      <c r="F239" s="6">
        <v>-6.4500000000000002E-2</v>
      </c>
    </row>
    <row r="240" spans="2:6">
      <c r="B240" t="s">
        <v>116</v>
      </c>
      <c r="C240" s="6">
        <v>0.25869999999999999</v>
      </c>
      <c r="D240" s="6">
        <v>0.16339999999999999</v>
      </c>
      <c r="E240" s="6">
        <v>0.13270000000000001</v>
      </c>
      <c r="F240" s="6">
        <v>0.1242</v>
      </c>
    </row>
    <row r="241" spans="2:6">
      <c r="B241" t="s">
        <v>158</v>
      </c>
      <c r="C241" s="6">
        <v>0.12989999999999999</v>
      </c>
      <c r="D241" s="6">
        <v>9.4500000000000001E-2</v>
      </c>
      <c r="E241" s="6">
        <v>9.4500000000000001E-2</v>
      </c>
      <c r="F241" s="6">
        <v>9.4500000000000001E-2</v>
      </c>
    </row>
    <row r="242" spans="2:6">
      <c r="B242" t="s">
        <v>98</v>
      </c>
      <c r="C242" s="6">
        <v>3.5499999999999997E-2</v>
      </c>
      <c r="D242" s="6">
        <v>3.1800000000000002E-2</v>
      </c>
      <c r="E242" s="6">
        <v>-3.73E-2</v>
      </c>
      <c r="F242" s="6">
        <v>-0.13700000000000001</v>
      </c>
    </row>
    <row r="243" spans="2:6">
      <c r="B243" t="s">
        <v>86</v>
      </c>
      <c r="C243" s="6">
        <v>0.1283</v>
      </c>
      <c r="D243" s="6">
        <v>4.7100000000000003E-2</v>
      </c>
      <c r="E243" s="6">
        <v>-2.2800000000000001E-2</v>
      </c>
      <c r="F243" s="6">
        <v>-3.0099999999999998E-2</v>
      </c>
    </row>
    <row r="244" spans="2:6">
      <c r="B244" t="s">
        <v>90</v>
      </c>
      <c r="C244" s="6">
        <v>0.3493</v>
      </c>
      <c r="D244" s="6">
        <v>0.2767</v>
      </c>
      <c r="E244" s="6">
        <v>0.15920000000000001</v>
      </c>
      <c r="F244" s="6">
        <v>0.31830000000000003</v>
      </c>
    </row>
    <row r="245" spans="2:6">
      <c r="B245" t="s">
        <v>414</v>
      </c>
      <c r="C245" s="6">
        <v>0.64539999999999997</v>
      </c>
      <c r="D245" s="6">
        <v>0.60589999999999999</v>
      </c>
      <c r="E245" s="6">
        <v>0.53890000000000005</v>
      </c>
      <c r="F245" s="6">
        <v>0.23139999999999999</v>
      </c>
    </row>
    <row r="246" spans="2:6">
      <c r="B246" t="s">
        <v>119</v>
      </c>
      <c r="C246" s="6">
        <v>-6.2300000000000001E-2</v>
      </c>
      <c r="D246" s="6">
        <v>-5.11E-2</v>
      </c>
      <c r="E246" s="6">
        <v>-2.7300000000000001E-2</v>
      </c>
      <c r="F246" s="6">
        <v>-2.4400000000000002E-2</v>
      </c>
    </row>
    <row r="247" spans="2:6">
      <c r="B247" t="s">
        <v>22</v>
      </c>
      <c r="C247" s="6">
        <v>0.2767</v>
      </c>
      <c r="D247" s="6">
        <v>0.22120000000000001</v>
      </c>
      <c r="E247" s="6">
        <v>0.18770000000000001</v>
      </c>
      <c r="F247" s="6">
        <v>0.13550000000000001</v>
      </c>
    </row>
    <row r="248" spans="2:6">
      <c r="B248" t="s">
        <v>68</v>
      </c>
      <c r="C248" s="6">
        <v>0.1457</v>
      </c>
      <c r="D248" s="6">
        <v>0.1419</v>
      </c>
      <c r="E248" s="6">
        <v>0.12740000000000001</v>
      </c>
      <c r="F248" s="6">
        <v>0.1457</v>
      </c>
    </row>
    <row r="249" spans="2:6">
      <c r="B249" t="s">
        <v>329</v>
      </c>
      <c r="C249" s="6">
        <v>0.1108</v>
      </c>
      <c r="D249" s="6">
        <v>9.8500000000000004E-2</v>
      </c>
      <c r="E249" s="6">
        <v>-6.54E-2</v>
      </c>
      <c r="F249" s="6">
        <v>-0.28460000000000002</v>
      </c>
    </row>
    <row r="250" spans="2:6">
      <c r="B250" t="s">
        <v>118</v>
      </c>
      <c r="C250" s="6">
        <v>3.6299999999999999E-2</v>
      </c>
      <c r="D250" s="6">
        <v>-2.98E-2</v>
      </c>
      <c r="E250" s="6">
        <v>4.0599999999999997E-2</v>
      </c>
      <c r="F250" s="6">
        <v>1.1999999999999999E-3</v>
      </c>
    </row>
    <row r="251" spans="2:6">
      <c r="B251" t="s">
        <v>292</v>
      </c>
      <c r="C251" s="6">
        <v>2.7900000000000001E-2</v>
      </c>
      <c r="D251" s="6">
        <v>4.8599999999999997E-2</v>
      </c>
      <c r="E251" s="6">
        <v>2.5600000000000001E-2</v>
      </c>
      <c r="F251" s="6">
        <v>2.12E-2</v>
      </c>
    </row>
    <row r="252" spans="2:6">
      <c r="B252" t="s">
        <v>61</v>
      </c>
      <c r="C252" s="6">
        <v>-1.06E-2</v>
      </c>
      <c r="D252" s="6">
        <v>2.35E-2</v>
      </c>
      <c r="E252" s="6">
        <v>-5.1999999999999998E-3</v>
      </c>
      <c r="F252" s="6">
        <v>5.7999999999999996E-3</v>
      </c>
    </row>
    <row r="253" spans="2:6">
      <c r="B253" t="s">
        <v>94</v>
      </c>
      <c r="C253" s="6">
        <v>0.17219999999999999</v>
      </c>
      <c r="D253" s="6">
        <v>-6.3500000000000001E-2</v>
      </c>
      <c r="E253" s="6">
        <v>-0.1052</v>
      </c>
      <c r="F253" s="6">
        <v>-0.1203</v>
      </c>
    </row>
    <row r="254" spans="2:6">
      <c r="B254" t="s">
        <v>417</v>
      </c>
      <c r="C254" s="6">
        <v>-2.1399999999999999E-2</v>
      </c>
      <c r="D254" s="6">
        <v>-3.7999999999999999E-2</v>
      </c>
      <c r="E254" s="6">
        <v>4.2500000000000003E-2</v>
      </c>
      <c r="F254" s="6">
        <v>4.1500000000000002E-2</v>
      </c>
    </row>
    <row r="255" spans="2:6">
      <c r="B255" t="s">
        <v>193</v>
      </c>
      <c r="C255" s="6">
        <v>0.106</v>
      </c>
      <c r="D255" s="6">
        <v>8.4500000000000006E-2</v>
      </c>
      <c r="E255" s="6">
        <v>9.4E-2</v>
      </c>
      <c r="F255" s="6">
        <v>5.8000000000000003E-2</v>
      </c>
    </row>
    <row r="256" spans="2:6">
      <c r="B256" t="s">
        <v>283</v>
      </c>
      <c r="C256" s="6">
        <v>7.1300000000000002E-2</v>
      </c>
      <c r="D256" s="6">
        <v>3.8600000000000002E-2</v>
      </c>
      <c r="E256" s="6">
        <v>0.01</v>
      </c>
      <c r="F256" s="6">
        <v>4.4299999999999999E-2</v>
      </c>
    </row>
    <row r="257" spans="2:6">
      <c r="B257" t="s">
        <v>424</v>
      </c>
      <c r="C257" s="6">
        <v>0.1196</v>
      </c>
      <c r="D257" s="6">
        <v>9.2399999999999996E-2</v>
      </c>
      <c r="E257" s="6">
        <v>7.1099999999999997E-2</v>
      </c>
      <c r="F257" s="6">
        <v>2.9399999999999999E-2</v>
      </c>
    </row>
    <row r="258" spans="2:6">
      <c r="B258" t="s">
        <v>31</v>
      </c>
      <c r="C258" s="6">
        <v>4.5400000000000003E-2</v>
      </c>
      <c r="D258" s="6">
        <v>3.3300000000000003E-2</v>
      </c>
      <c r="E258" s="6">
        <v>-2.01E-2</v>
      </c>
      <c r="F258" s="6">
        <v>-5.5500000000000001E-2</v>
      </c>
    </row>
    <row r="259" spans="2:6">
      <c r="B259" t="s">
        <v>154</v>
      </c>
      <c r="C259" s="6">
        <v>-0.49909999999999999</v>
      </c>
      <c r="D259" s="6">
        <v>-0.38490000000000002</v>
      </c>
      <c r="E259" s="6">
        <v>-0.40010000000000001</v>
      </c>
      <c r="F259" s="6">
        <v>-8.7099999999999997E-2</v>
      </c>
    </row>
    <row r="260" spans="2:6">
      <c r="B260" t="s">
        <v>404</v>
      </c>
      <c r="C260" s="6">
        <v>0.47199999999999998</v>
      </c>
      <c r="D260" s="6">
        <v>0.3422</v>
      </c>
      <c r="E260" s="6">
        <v>-0.105</v>
      </c>
      <c r="F260" s="6">
        <v>-4.6600000000000003E-2</v>
      </c>
    </row>
    <row r="261" spans="2:6">
      <c r="B261" t="s">
        <v>325</v>
      </c>
      <c r="C261" s="6">
        <v>0.1046</v>
      </c>
      <c r="D261" s="6">
        <v>8.9300000000000004E-2</v>
      </c>
      <c r="E261" s="6">
        <v>0.1022</v>
      </c>
      <c r="F261" s="6">
        <v>0.1394</v>
      </c>
    </row>
    <row r="262" spans="2:6">
      <c r="B262" t="s">
        <v>402</v>
      </c>
      <c r="C262" s="6">
        <v>0.17530000000000001</v>
      </c>
      <c r="D262" s="6">
        <v>-6.7000000000000002E-3</v>
      </c>
      <c r="E262" s="6">
        <v>9.7999999999999997E-3</v>
      </c>
      <c r="F262" s="6">
        <v>-3.8999999999999998E-3</v>
      </c>
    </row>
    <row r="263" spans="2:6">
      <c r="B263" t="s">
        <v>401</v>
      </c>
      <c r="C263" s="6">
        <v>-7.1999999999999995E-2</v>
      </c>
      <c r="D263" s="6">
        <v>0.13400000000000001</v>
      </c>
      <c r="E263" s="6">
        <v>9.9199999999999997E-2</v>
      </c>
      <c r="F263" s="6">
        <v>-3.9699999999999999E-2</v>
      </c>
    </row>
    <row r="264" spans="2:6">
      <c r="B264" t="s">
        <v>65</v>
      </c>
      <c r="C264" s="6">
        <v>-0.12</v>
      </c>
      <c r="D264" s="6">
        <v>-6.8900000000000003E-2</v>
      </c>
      <c r="E264" s="6">
        <v>-5.2200000000000003E-2</v>
      </c>
      <c r="F264" s="6">
        <v>-9.9099999999999994E-2</v>
      </c>
    </row>
    <row r="265" spans="2:6">
      <c r="B265" t="s">
        <v>58</v>
      </c>
      <c r="C265" s="6">
        <v>-3.4299999999999997E-2</v>
      </c>
      <c r="D265" s="6">
        <v>3.2199999999999999E-2</v>
      </c>
      <c r="E265" s="6">
        <v>5.5999999999999999E-3</v>
      </c>
      <c r="F265" s="6">
        <v>-3.9E-2</v>
      </c>
    </row>
    <row r="266" spans="2:6">
      <c r="B266" t="s">
        <v>7</v>
      </c>
      <c r="C266" s="6">
        <v>0.21840000000000001</v>
      </c>
      <c r="D266" s="6">
        <v>0.2261</v>
      </c>
      <c r="E266" s="6">
        <v>0.16850000000000001</v>
      </c>
      <c r="F266" s="6">
        <v>0.14299999999999999</v>
      </c>
    </row>
    <row r="267" spans="2:6">
      <c r="B267" t="s">
        <v>270</v>
      </c>
      <c r="C267" s="6">
        <v>-5.0599999999999999E-2</v>
      </c>
      <c r="D267" s="6">
        <v>0.04</v>
      </c>
      <c r="E267" s="6">
        <v>3.4599999999999999E-2</v>
      </c>
      <c r="F267" s="6">
        <v>6.5699999999999995E-2</v>
      </c>
    </row>
    <row r="268" spans="2:6">
      <c r="B268" t="s">
        <v>208</v>
      </c>
      <c r="C268" s="6">
        <v>4.0399999999999998E-2</v>
      </c>
      <c r="D268" s="6">
        <v>4.2700000000000002E-2</v>
      </c>
      <c r="E268" s="6">
        <v>0.16880000000000001</v>
      </c>
      <c r="F268" s="6">
        <v>5.4000000000000003E-3</v>
      </c>
    </row>
    <row r="269" spans="2:6">
      <c r="B269" t="s">
        <v>281</v>
      </c>
      <c r="C269" s="6">
        <v>8.6999999999999994E-3</v>
      </c>
      <c r="D269" s="6">
        <v>-7.6799999999999993E-2</v>
      </c>
      <c r="E269" s="6">
        <v>-0.1159</v>
      </c>
      <c r="F269" s="6">
        <v>-0.1482</v>
      </c>
    </row>
    <row r="270" spans="2:6">
      <c r="B270" t="s">
        <v>192</v>
      </c>
      <c r="C270" s="6">
        <v>0.33329999999999999</v>
      </c>
      <c r="D270" s="6">
        <v>8.6199999999999999E-2</v>
      </c>
      <c r="E270" s="6">
        <v>-3.3399999999999999E-2</v>
      </c>
      <c r="F270" s="6">
        <v>-0.24640000000000001</v>
      </c>
    </row>
    <row r="271" spans="2:6">
      <c r="B271" t="s">
        <v>100</v>
      </c>
      <c r="C271" s="6">
        <v>5.3800000000000001E-2</v>
      </c>
      <c r="D271" s="6">
        <v>3.8600000000000002E-2</v>
      </c>
      <c r="E271" s="6">
        <v>5.3999999999999999E-2</v>
      </c>
      <c r="F271" s="6">
        <v>8.2100000000000006E-2</v>
      </c>
    </row>
    <row r="272" spans="2:6">
      <c r="B272" t="s">
        <v>376</v>
      </c>
      <c r="C272" s="6">
        <v>-1.0800000000000001E-2</v>
      </c>
      <c r="D272" s="6">
        <v>-2.1000000000000001E-2</v>
      </c>
      <c r="E272" s="6">
        <v>-3.3399999999999999E-2</v>
      </c>
      <c r="F272" s="6">
        <v>-2.5499999999999998E-2</v>
      </c>
    </row>
    <row r="273" spans="2:6">
      <c r="B273" t="s">
        <v>308</v>
      </c>
      <c r="C273" s="6">
        <v>0.12570000000000001</v>
      </c>
      <c r="D273" s="6">
        <v>9.8100000000000007E-2</v>
      </c>
      <c r="E273" s="6">
        <v>2.7799999999999998E-2</v>
      </c>
      <c r="F273" s="6">
        <v>6.4999999999999997E-3</v>
      </c>
    </row>
    <row r="274" spans="2:6">
      <c r="B274" t="s">
        <v>221</v>
      </c>
      <c r="C274" s="6">
        <v>7.7899999999999997E-2</v>
      </c>
      <c r="D274" s="6">
        <v>4.9599999999999998E-2</v>
      </c>
      <c r="E274" s="6">
        <v>5.6300000000000003E-2</v>
      </c>
      <c r="F274" s="6">
        <v>2.2700000000000001E-2</v>
      </c>
    </row>
    <row r="275" spans="2:6">
      <c r="B275" t="s">
        <v>46</v>
      </c>
      <c r="C275" s="6">
        <v>3.0599999999999999E-2</v>
      </c>
      <c r="D275" s="6">
        <v>-1.6000000000000001E-3</v>
      </c>
      <c r="E275" s="6">
        <v>-8.0000000000000002E-3</v>
      </c>
      <c r="F275" s="6">
        <v>-8.3000000000000001E-3</v>
      </c>
    </row>
    <row r="276" spans="2:6">
      <c r="B276" t="s">
        <v>823</v>
      </c>
      <c r="C276" s="6">
        <v>-4.0599999999999997E-2</v>
      </c>
      <c r="D276" s="6">
        <v>-9.3100000000000002E-2</v>
      </c>
      <c r="E276" s="6">
        <v>-2.86E-2</v>
      </c>
      <c r="F276" s="6">
        <v>-9.2399999999999996E-2</v>
      </c>
    </row>
    <row r="277" spans="2:6">
      <c r="B277" t="s">
        <v>216</v>
      </c>
      <c r="C277" s="6">
        <v>0.25530000000000003</v>
      </c>
      <c r="D277" s="6">
        <v>0.1822</v>
      </c>
      <c r="E277" s="6">
        <v>0.1651</v>
      </c>
      <c r="F277" s="6">
        <v>5.8999999999999997E-2</v>
      </c>
    </row>
    <row r="278" spans="2:6">
      <c r="B278" t="s">
        <v>209</v>
      </c>
      <c r="C278" s="6">
        <v>-0.17230000000000001</v>
      </c>
      <c r="D278" s="6">
        <v>-0.16830000000000001</v>
      </c>
      <c r="E278" s="6">
        <v>-0.21240000000000001</v>
      </c>
      <c r="F278" s="6">
        <v>5.0599999999999999E-2</v>
      </c>
    </row>
    <row r="279" spans="2:6">
      <c r="B279" t="s">
        <v>248</v>
      </c>
      <c r="C279" s="6">
        <v>0.154</v>
      </c>
      <c r="D279" s="6">
        <v>0.17269999999999999</v>
      </c>
      <c r="E279" s="6">
        <v>0.17369999999999999</v>
      </c>
      <c r="F279" s="6">
        <v>0.13689999999999999</v>
      </c>
    </row>
    <row r="280" spans="2:6">
      <c r="B280" t="s">
        <v>403</v>
      </c>
      <c r="C280" s="6">
        <v>25.849799999999998</v>
      </c>
      <c r="D280" s="6">
        <v>30.008800000000001</v>
      </c>
      <c r="E280" s="6">
        <v>30.357800000000001</v>
      </c>
      <c r="F280" s="6">
        <v>30.357800000000001</v>
      </c>
    </row>
    <row r="281" spans="2:6">
      <c r="B281" t="s">
        <v>152</v>
      </c>
      <c r="C281" s="6">
        <v>0.3891</v>
      </c>
      <c r="D281" s="6">
        <v>1.3858999999999999</v>
      </c>
      <c r="E281" s="6">
        <v>1.5545</v>
      </c>
      <c r="F281" s="6">
        <v>1.1781999999999999</v>
      </c>
    </row>
    <row r="282" spans="2:6">
      <c r="B282" t="s">
        <v>280</v>
      </c>
      <c r="C282" s="6">
        <v>7.1300000000000002E-2</v>
      </c>
      <c r="D282" s="6">
        <v>4.3099999999999999E-2</v>
      </c>
      <c r="E282" s="6">
        <v>-8.0999999999999996E-3</v>
      </c>
      <c r="F282" s="6">
        <v>-1.5100000000000001E-2</v>
      </c>
    </row>
    <row r="283" spans="2:6">
      <c r="B283" t="s">
        <v>97</v>
      </c>
      <c r="C283" s="6">
        <v>3.1800000000000002E-2</v>
      </c>
      <c r="D283" s="6">
        <v>0.03</v>
      </c>
      <c r="E283" s="6">
        <v>1.5800000000000002E-2</v>
      </c>
      <c r="F283" s="6">
        <v>-1.5299999999999999E-2</v>
      </c>
    </row>
    <row r="284" spans="2:6">
      <c r="B284" t="s">
        <v>108</v>
      </c>
      <c r="C284" s="6">
        <v>8.5599999999999996E-2</v>
      </c>
      <c r="D284" s="6">
        <v>3.2199999999999999E-2</v>
      </c>
      <c r="E284" s="6">
        <v>1.4800000000000001E-2</v>
      </c>
      <c r="F284" s="6">
        <v>1.12E-2</v>
      </c>
    </row>
    <row r="285" spans="2:6">
      <c r="B285" t="s">
        <v>224</v>
      </c>
      <c r="C285" s="6">
        <v>-5.7999999999999996E-3</v>
      </c>
      <c r="D285" s="6">
        <v>5.2299999999999999E-2</v>
      </c>
      <c r="E285" s="6">
        <v>5.8099999999999999E-2</v>
      </c>
      <c r="F285" s="6">
        <v>8.6999999999999994E-3</v>
      </c>
    </row>
    <row r="286" spans="2:6">
      <c r="B286" t="s">
        <v>126</v>
      </c>
      <c r="C286" s="6">
        <v>-6.83E-2</v>
      </c>
      <c r="D286" s="6">
        <v>-6.6100000000000006E-2</v>
      </c>
      <c r="E286" s="6">
        <v>-1.72E-2</v>
      </c>
      <c r="F286" s="6">
        <v>-2.5100000000000001E-2</v>
      </c>
    </row>
    <row r="287" spans="2:6">
      <c r="B287" t="s">
        <v>128</v>
      </c>
      <c r="C287" s="6">
        <v>0.2142</v>
      </c>
      <c r="D287" s="6">
        <v>0.2346</v>
      </c>
      <c r="E287" s="6">
        <v>0.23119999999999999</v>
      </c>
      <c r="F287" s="6">
        <v>9.6100000000000005E-2</v>
      </c>
    </row>
    <row r="288" spans="2:6">
      <c r="B288" t="s">
        <v>99</v>
      </c>
      <c r="C288" s="6">
        <v>0.25740000000000002</v>
      </c>
      <c r="D288" s="6">
        <v>0.19420000000000001</v>
      </c>
      <c r="E288" s="6">
        <v>0.1318</v>
      </c>
      <c r="F288" s="6">
        <v>9.4899999999999998E-2</v>
      </c>
    </row>
    <row r="289" spans="2:6">
      <c r="B289" t="s">
        <v>180</v>
      </c>
      <c r="C289" s="6">
        <v>2.81E-2</v>
      </c>
      <c r="D289" s="6">
        <v>3.9199999999999999E-2</v>
      </c>
      <c r="E289" s="6">
        <v>5.2699999999999997E-2</v>
      </c>
      <c r="F289" s="6">
        <v>-1.34E-2</v>
      </c>
    </row>
    <row r="290" spans="2:6">
      <c r="B290" t="s">
        <v>125</v>
      </c>
      <c r="C290" s="6">
        <v>1.8141</v>
      </c>
      <c r="D290" s="6">
        <v>-3.5099999999999999E-2</v>
      </c>
      <c r="E290" s="6">
        <v>-2.58E-2</v>
      </c>
      <c r="F290" s="6">
        <v>-1.1900000000000001E-2</v>
      </c>
    </row>
    <row r="291" spans="2:6">
      <c r="B291" t="s">
        <v>72</v>
      </c>
      <c r="C291" s="6">
        <v>-0.16639999999999999</v>
      </c>
      <c r="D291" s="6">
        <v>-0.16370000000000001</v>
      </c>
      <c r="E291" s="6">
        <v>0.55349999999999999</v>
      </c>
      <c r="F291" s="6">
        <v>0.61939999999999995</v>
      </c>
    </row>
    <row r="292" spans="2:6">
      <c r="B292" t="s">
        <v>28</v>
      </c>
      <c r="C292" s="6">
        <v>0.15890000000000001</v>
      </c>
      <c r="D292" s="6">
        <v>0.12429999999999999</v>
      </c>
      <c r="E292" s="6">
        <v>0.14460000000000001</v>
      </c>
      <c r="F292" s="6">
        <v>5.4600000000000003E-2</v>
      </c>
    </row>
    <row r="293" spans="2:6">
      <c r="B293" t="s">
        <v>228</v>
      </c>
      <c r="C293" s="6">
        <v>0.28789999999999999</v>
      </c>
      <c r="D293" s="6">
        <v>0.27489999999999998</v>
      </c>
      <c r="E293" s="6">
        <v>0.30230000000000001</v>
      </c>
      <c r="F293" s="6">
        <v>0.24349999999999999</v>
      </c>
    </row>
    <row r="294" spans="2:6">
      <c r="B294" t="s">
        <v>416</v>
      </c>
      <c r="C294" s="6">
        <v>0.19839999999999999</v>
      </c>
      <c r="D294" s="6">
        <v>0.18440000000000001</v>
      </c>
      <c r="E294" s="6">
        <v>0.13070000000000001</v>
      </c>
      <c r="F294" s="6">
        <v>0.1356</v>
      </c>
    </row>
    <row r="295" spans="2:6">
      <c r="B295" t="s">
        <v>139</v>
      </c>
      <c r="C295" s="6">
        <v>0.10050000000000001</v>
      </c>
      <c r="D295" s="6">
        <v>8.14E-2</v>
      </c>
      <c r="E295" s="6">
        <v>0.10780000000000001</v>
      </c>
      <c r="F295" s="6">
        <v>8.5999999999999993E-2</v>
      </c>
    </row>
    <row r="296" spans="2:6">
      <c r="B296" t="s">
        <v>55</v>
      </c>
      <c r="C296" s="6">
        <v>7.8899999999999998E-2</v>
      </c>
      <c r="D296" s="6">
        <v>7.3599999999999999E-2</v>
      </c>
      <c r="E296" s="6">
        <v>0.1179</v>
      </c>
      <c r="F296" s="6">
        <v>0.1104</v>
      </c>
    </row>
    <row r="297" spans="2:6">
      <c r="B297" t="s">
        <v>69</v>
      </c>
      <c r="C297" s="6">
        <v>0.1033</v>
      </c>
      <c r="D297" s="6">
        <v>7.6799999999999993E-2</v>
      </c>
      <c r="E297" s="6">
        <v>4.7500000000000001E-2</v>
      </c>
      <c r="F297" s="6">
        <v>9.0300000000000005E-2</v>
      </c>
    </row>
    <row r="298" spans="2:6">
      <c r="B298" t="s">
        <v>11</v>
      </c>
      <c r="C298" s="6">
        <v>0.31730000000000003</v>
      </c>
      <c r="D298" s="6">
        <v>0.31440000000000001</v>
      </c>
      <c r="E298" s="6">
        <v>0.16769999999999999</v>
      </c>
      <c r="F298" s="6">
        <v>0.16400000000000001</v>
      </c>
    </row>
    <row r="299" spans="2:6">
      <c r="B299" t="s">
        <v>263</v>
      </c>
      <c r="C299" s="6">
        <v>8.3599999999999994E-2</v>
      </c>
      <c r="D299" s="6">
        <v>5.7000000000000002E-2</v>
      </c>
      <c r="E299" s="6">
        <v>2.06E-2</v>
      </c>
      <c r="F299" s="6">
        <v>-1.54E-2</v>
      </c>
    </row>
    <row r="300" spans="2:6">
      <c r="B300" t="s">
        <v>425</v>
      </c>
      <c r="C300" s="6">
        <v>0.21110000000000001</v>
      </c>
      <c r="D300" s="6">
        <v>0.1762</v>
      </c>
      <c r="E300" s="6">
        <v>0.1123</v>
      </c>
      <c r="F300" s="6">
        <v>0.1047</v>
      </c>
    </row>
    <row r="301" spans="2:6">
      <c r="B301" t="s">
        <v>92</v>
      </c>
      <c r="C301" s="6">
        <v>5.74E-2</v>
      </c>
      <c r="D301" s="6">
        <v>-2.3699999999999999E-2</v>
      </c>
      <c r="E301" s="6">
        <v>-9.9299999999999999E-2</v>
      </c>
      <c r="F301" s="6">
        <v>-5.9799999999999999E-2</v>
      </c>
    </row>
    <row r="302" spans="2:6">
      <c r="B302" t="s">
        <v>150</v>
      </c>
      <c r="C302" s="6">
        <v>0.32840000000000003</v>
      </c>
      <c r="D302" s="6">
        <v>0.24979999999999999</v>
      </c>
      <c r="E302" s="6">
        <v>0.1946</v>
      </c>
      <c r="F302" s="6">
        <v>0.16300000000000001</v>
      </c>
    </row>
    <row r="303" spans="2:6">
      <c r="B303" t="s">
        <v>306</v>
      </c>
      <c r="C303" s="6">
        <v>6.1999999999999998E-3</v>
      </c>
      <c r="D303" s="6">
        <v>6.9900000000000004E-2</v>
      </c>
      <c r="E303" s="6">
        <v>0.1077</v>
      </c>
      <c r="F303" s="6">
        <v>3.1099999999999999E-2</v>
      </c>
    </row>
    <row r="304" spans="2:6">
      <c r="B304" t="s">
        <v>837</v>
      </c>
      <c r="C304" s="6">
        <v>0.32869999999999999</v>
      </c>
      <c r="D304" s="6">
        <v>0.23980000000000001</v>
      </c>
      <c r="E304" s="6">
        <v>0.1804</v>
      </c>
      <c r="F304" s="6">
        <v>0.19170000000000001</v>
      </c>
    </row>
    <row r="305" spans="2:6">
      <c r="B305" t="s">
        <v>21</v>
      </c>
      <c r="C305" s="6">
        <v>5.8544999999999998</v>
      </c>
      <c r="D305" s="6">
        <v>5.9736000000000002</v>
      </c>
      <c r="E305" s="6">
        <v>6.1593</v>
      </c>
      <c r="F305" s="6">
        <v>0.1542</v>
      </c>
    </row>
    <row r="306" spans="2:6">
      <c r="B306" t="s">
        <v>54</v>
      </c>
      <c r="C306" s="6">
        <v>0.16320000000000001</v>
      </c>
      <c r="D306" s="6">
        <v>0.15709999999999999</v>
      </c>
      <c r="E306" s="6">
        <v>4.9700000000000001E-2</v>
      </c>
      <c r="F306" s="6">
        <v>4.7699999999999999E-2</v>
      </c>
    </row>
    <row r="307" spans="2:6">
      <c r="B307" t="s">
        <v>186</v>
      </c>
      <c r="C307" s="6">
        <v>4.99E-2</v>
      </c>
      <c r="D307" s="6">
        <v>8.8000000000000005E-3</v>
      </c>
      <c r="E307" s="6">
        <v>1.4999999999999999E-2</v>
      </c>
      <c r="F307" s="6">
        <v>3.2300000000000002E-2</v>
      </c>
    </row>
    <row r="308" spans="2:6">
      <c r="B308" t="s">
        <v>390</v>
      </c>
      <c r="C308" s="6">
        <v>0.42970000000000003</v>
      </c>
      <c r="D308" s="6">
        <v>0.31929999999999997</v>
      </c>
      <c r="E308" s="6">
        <v>0.20100000000000001</v>
      </c>
      <c r="F308" s="6">
        <v>0.13189999999999999</v>
      </c>
    </row>
    <row r="309" spans="2:6">
      <c r="B309" t="s">
        <v>330</v>
      </c>
      <c r="C309" s="6">
        <v>0.13150000000000001</v>
      </c>
      <c r="D309" s="6">
        <v>0.13339999999999999</v>
      </c>
      <c r="E309" s="6">
        <v>0.14829999999999999</v>
      </c>
      <c r="F309" s="6">
        <v>8.2600000000000007E-2</v>
      </c>
    </row>
    <row r="310" spans="2:6">
      <c r="B310" t="s">
        <v>246</v>
      </c>
      <c r="C310" s="6">
        <v>-7.8399999999999997E-2</v>
      </c>
      <c r="D310" s="6">
        <v>-9.2700000000000005E-2</v>
      </c>
      <c r="E310" s="6">
        <v>-1.4999999999999999E-2</v>
      </c>
      <c r="F310" s="6">
        <v>0.1145</v>
      </c>
    </row>
    <row r="311" spans="2:6">
      <c r="B311" t="s">
        <v>0</v>
      </c>
      <c r="C311" s="6">
        <v>0.2303</v>
      </c>
      <c r="D311" s="6">
        <v>0.16550000000000001</v>
      </c>
      <c r="E311" s="6">
        <v>0.1847</v>
      </c>
      <c r="F311" s="6">
        <v>0.16719999999999999</v>
      </c>
    </row>
    <row r="312" spans="2:6">
      <c r="B312" t="s">
        <v>834</v>
      </c>
      <c r="C312" s="6">
        <v>-2.7900000000000001E-2</v>
      </c>
      <c r="D312" s="6">
        <v>-2.8E-3</v>
      </c>
      <c r="E312" s="6">
        <v>-2.24E-2</v>
      </c>
      <c r="F312" s="6">
        <v>-6.6400000000000001E-2</v>
      </c>
    </row>
    <row r="313" spans="2:6">
      <c r="B313" t="s">
        <v>146</v>
      </c>
      <c r="C313" s="6">
        <v>0.30320000000000003</v>
      </c>
      <c r="D313" s="6">
        <v>0.3337</v>
      </c>
      <c r="E313" s="6">
        <v>0.50119999999999998</v>
      </c>
      <c r="F313" s="6">
        <v>0.1216</v>
      </c>
    </row>
    <row r="314" spans="2:6">
      <c r="B314" t="s">
        <v>168</v>
      </c>
      <c r="C314" s="6">
        <v>0.25800000000000001</v>
      </c>
      <c r="D314" s="6">
        <v>0.1789</v>
      </c>
      <c r="E314" s="6">
        <v>0.13950000000000001</v>
      </c>
      <c r="F314" s="6">
        <v>0.12</v>
      </c>
    </row>
    <row r="315" spans="2:6">
      <c r="B315" t="s">
        <v>257</v>
      </c>
      <c r="C315" s="6">
        <v>5.3364000000000003</v>
      </c>
      <c r="D315" s="6">
        <v>-0.34789999999999999</v>
      </c>
      <c r="E315" s="6">
        <v>-0.3392</v>
      </c>
      <c r="F315" s="6">
        <v>-0.4224</v>
      </c>
    </row>
    <row r="316" spans="2:6">
      <c r="B316" t="s">
        <v>405</v>
      </c>
      <c r="C316" s="6">
        <v>-3.2800000000000003E-2</v>
      </c>
      <c r="D316" s="6">
        <v>-3.9800000000000002E-2</v>
      </c>
      <c r="E316" s="6">
        <v>8.6499999999999994E-2</v>
      </c>
      <c r="F316" s="6">
        <v>8.6499999999999994E-2</v>
      </c>
    </row>
    <row r="317" spans="2:6">
      <c r="B317" t="s">
        <v>101</v>
      </c>
      <c r="C317" s="6">
        <v>0.1986</v>
      </c>
      <c r="D317" s="6">
        <v>0.114</v>
      </c>
      <c r="E317" s="6">
        <v>7.8299999999999995E-2</v>
      </c>
      <c r="F317" s="6">
        <v>7.0000000000000001E-3</v>
      </c>
    </row>
    <row r="318" spans="2:6">
      <c r="B318" t="s">
        <v>258</v>
      </c>
      <c r="C318" s="6">
        <v>3.0499999999999999E-2</v>
      </c>
      <c r="D318" s="6">
        <v>-8.7099999999999997E-2</v>
      </c>
      <c r="E318" s="6">
        <v>-5.5399999999999998E-2</v>
      </c>
      <c r="F318" s="6">
        <v>-6.4000000000000001E-2</v>
      </c>
    </row>
    <row r="319" spans="2:6">
      <c r="B319" t="s">
        <v>199</v>
      </c>
      <c r="C319" s="6">
        <v>0.10299999999999999</v>
      </c>
      <c r="D319" s="6">
        <v>0.1053</v>
      </c>
      <c r="E319" s="6">
        <v>0.11459999999999999</v>
      </c>
      <c r="F319" s="6">
        <v>0.1028</v>
      </c>
    </row>
    <row r="320" spans="2:6">
      <c r="B320" t="s">
        <v>133</v>
      </c>
      <c r="C320" s="6">
        <v>0.18479999999999999</v>
      </c>
      <c r="D320" s="6">
        <v>0.15509999999999999</v>
      </c>
      <c r="E320" s="6">
        <v>0.12820000000000001</v>
      </c>
      <c r="F320" s="6">
        <v>7.9100000000000004E-2</v>
      </c>
    </row>
    <row r="321" spans="2:6">
      <c r="B321" t="s">
        <v>250</v>
      </c>
      <c r="C321" s="6">
        <v>2.2499999999999999E-2</v>
      </c>
      <c r="D321" s="6">
        <v>4.9200000000000001E-2</v>
      </c>
      <c r="E321" s="6">
        <v>6.9800000000000001E-2</v>
      </c>
      <c r="F321" s="6">
        <v>9.3299999999999994E-2</v>
      </c>
    </row>
    <row r="322" spans="2:6">
      <c r="B322" t="s">
        <v>806</v>
      </c>
      <c r="C322" s="6">
        <v>0.1517</v>
      </c>
      <c r="D322" s="6">
        <v>6.4500000000000002E-2</v>
      </c>
      <c r="E322" s="6">
        <v>7.5899999999999995E-2</v>
      </c>
      <c r="F322" s="6">
        <v>6.4699999999999994E-2</v>
      </c>
    </row>
    <row r="323" spans="2:6">
      <c r="B323" t="s">
        <v>40</v>
      </c>
      <c r="C323" s="6">
        <v>7.3700000000000002E-2</v>
      </c>
      <c r="D323" s="6">
        <v>-1.5E-3</v>
      </c>
      <c r="E323" s="6">
        <v>-3.3700000000000001E-2</v>
      </c>
      <c r="F323" s="6">
        <v>-1.09E-2</v>
      </c>
    </row>
    <row r="324" spans="2:6">
      <c r="B324" t="s">
        <v>226</v>
      </c>
      <c r="C324" s="6">
        <v>9.5600000000000004E-2</v>
      </c>
      <c r="D324" s="6">
        <v>7.0499999999999993E-2</v>
      </c>
      <c r="E324" s="6">
        <v>5.8700000000000002E-2</v>
      </c>
      <c r="F324" s="6">
        <v>3.2000000000000002E-3</v>
      </c>
    </row>
    <row r="325" spans="2:6">
      <c r="B325" t="s">
        <v>172</v>
      </c>
      <c r="C325" s="6">
        <v>0.14610000000000001</v>
      </c>
      <c r="D325" s="6">
        <v>0.13700000000000001</v>
      </c>
      <c r="E325" s="6">
        <v>0.12130000000000001</v>
      </c>
      <c r="F325" s="6">
        <v>7.9399999999999998E-2</v>
      </c>
    </row>
    <row r="326" spans="2:6">
      <c r="B326" t="s">
        <v>294</v>
      </c>
      <c r="C326" s="6">
        <v>-0.10340000000000001</v>
      </c>
      <c r="D326" s="6">
        <v>-2.1999999999999999E-2</v>
      </c>
      <c r="E326" s="6">
        <v>4.7500000000000001E-2</v>
      </c>
      <c r="F326" s="6">
        <v>5.0200000000000002E-2</v>
      </c>
    </row>
    <row r="327" spans="2:6">
      <c r="B327" t="s">
        <v>807</v>
      </c>
      <c r="C327" s="6">
        <v>0.10340000000000001</v>
      </c>
      <c r="D327" s="6">
        <v>0.1074</v>
      </c>
      <c r="E327" s="6">
        <v>9.6199999999999994E-2</v>
      </c>
      <c r="F327" s="6">
        <v>8.7300000000000003E-2</v>
      </c>
    </row>
    <row r="328" spans="2:6">
      <c r="B328" t="s">
        <v>60</v>
      </c>
      <c r="C328" s="6">
        <v>0.1207</v>
      </c>
      <c r="D328" s="6">
        <v>0.13339999999999999</v>
      </c>
      <c r="E328" s="6">
        <v>0.1106</v>
      </c>
      <c r="F328" s="6">
        <v>0.1071</v>
      </c>
    </row>
    <row r="329" spans="2:6">
      <c r="B329" t="s">
        <v>253</v>
      </c>
      <c r="C329" s="6">
        <v>-7.4499999999999997E-2</v>
      </c>
      <c r="D329" s="6">
        <v>-8.3999999999999995E-3</v>
      </c>
      <c r="E329" s="6">
        <v>4.6100000000000002E-2</v>
      </c>
      <c r="F329" s="6">
        <v>1.21E-2</v>
      </c>
    </row>
    <row r="330" spans="2:6">
      <c r="B330" t="s">
        <v>830</v>
      </c>
      <c r="C330" s="6">
        <v>4.3E-3</v>
      </c>
      <c r="D330" s="6">
        <v>3.1600000000000003E-2</v>
      </c>
      <c r="E330" s="6">
        <v>3.56E-2</v>
      </c>
      <c r="F330" s="6">
        <v>3.3999999999999998E-3</v>
      </c>
    </row>
    <row r="331" spans="2:6">
      <c r="B331" t="s">
        <v>189</v>
      </c>
      <c r="C331" s="6">
        <v>9.6600000000000005E-2</v>
      </c>
      <c r="D331" s="6">
        <v>7.6499999999999999E-2</v>
      </c>
      <c r="E331" s="6">
        <v>8.0699999999999994E-2</v>
      </c>
      <c r="F331" s="6">
        <v>7.9399999999999998E-2</v>
      </c>
    </row>
    <row r="332" spans="2:6">
      <c r="B332" t="s">
        <v>326</v>
      </c>
      <c r="C332" s="6">
        <v>-0.1338</v>
      </c>
      <c r="D332" s="6">
        <v>-8.0299999999999996E-2</v>
      </c>
      <c r="E332" s="6">
        <v>-3.9199999999999999E-2</v>
      </c>
      <c r="F332" s="6">
        <v>-5.8099999999999999E-2</v>
      </c>
    </row>
    <row r="333" spans="2:6">
      <c r="B333" t="s">
        <v>287</v>
      </c>
      <c r="C333" s="6">
        <v>8.4400000000000003E-2</v>
      </c>
      <c r="D333" s="6">
        <v>6.1699999999999998E-2</v>
      </c>
      <c r="E333" s="6">
        <v>0.10059999999999999</v>
      </c>
      <c r="F333" s="6">
        <v>7.6499999999999999E-2</v>
      </c>
    </row>
    <row r="334" spans="2:6">
      <c r="B334" t="s">
        <v>51</v>
      </c>
      <c r="C334" s="6">
        <v>-2.9000000000000001E-2</v>
      </c>
      <c r="D334" s="6">
        <v>5.67E-2</v>
      </c>
      <c r="E334" s="6">
        <v>0.14610000000000001</v>
      </c>
      <c r="F334" s="6">
        <v>0.24030000000000001</v>
      </c>
    </row>
    <row r="335" spans="2:6">
      <c r="B335" t="s">
        <v>836</v>
      </c>
      <c r="C335" s="6">
        <v>0.31869999999999998</v>
      </c>
      <c r="D335" s="6">
        <v>0.28860000000000002</v>
      </c>
      <c r="E335" s="6">
        <v>0.2429</v>
      </c>
      <c r="F335" s="6">
        <v>0.1585</v>
      </c>
    </row>
    <row r="336" spans="2:6">
      <c r="B336" t="s">
        <v>327</v>
      </c>
      <c r="C336" s="6">
        <v>-2.4500000000000001E-2</v>
      </c>
      <c r="D336" s="6">
        <v>-2.4500000000000001E-2</v>
      </c>
      <c r="E336" s="6">
        <v>2.5399999999999999E-2</v>
      </c>
      <c r="F336" s="6">
        <v>5.4000000000000003E-3</v>
      </c>
    </row>
    <row r="337" spans="2:6">
      <c r="B337" t="s">
        <v>141</v>
      </c>
      <c r="C337" s="6">
        <v>8.09E-2</v>
      </c>
      <c r="D337" s="6">
        <v>4.3099999999999999E-2</v>
      </c>
      <c r="E337" s="6">
        <v>7.7899999999999997E-2</v>
      </c>
      <c r="F337" s="6">
        <v>-1.8100000000000002E-2</v>
      </c>
    </row>
    <row r="338" spans="2:6">
      <c r="B338" t="s">
        <v>249</v>
      </c>
      <c r="C338" s="6">
        <v>-4.0000000000000001E-3</v>
      </c>
      <c r="D338" s="6">
        <v>5.3499999999999999E-2</v>
      </c>
      <c r="E338" s="6">
        <v>7.9899999999999999E-2</v>
      </c>
      <c r="F338" s="6">
        <v>1.3100000000000001E-2</v>
      </c>
    </row>
    <row r="339" spans="2:6">
      <c r="B339" t="s">
        <v>147</v>
      </c>
      <c r="C339" s="6">
        <v>9.2499999999999999E-2</v>
      </c>
      <c r="D339" s="6">
        <v>0.1056</v>
      </c>
      <c r="E339" s="6">
        <v>4.58E-2</v>
      </c>
      <c r="F339" s="6">
        <v>3.9399999999999998E-2</v>
      </c>
    </row>
    <row r="340" spans="2:6">
      <c r="B340" t="s">
        <v>53</v>
      </c>
      <c r="C340" s="6">
        <v>0.33710000000000001</v>
      </c>
      <c r="D340" s="6">
        <v>0.20019999999999999</v>
      </c>
      <c r="E340" s="6">
        <v>0.1012</v>
      </c>
      <c r="F340" s="6">
        <v>7.2999999999999995E-2</v>
      </c>
    </row>
    <row r="341" spans="2:6">
      <c r="B341" t="s">
        <v>318</v>
      </c>
      <c r="C341" s="6">
        <v>-7.6499999999999999E-2</v>
      </c>
      <c r="D341" s="6">
        <v>-3.5999999999999997E-2</v>
      </c>
      <c r="E341" s="6">
        <v>1.0786</v>
      </c>
      <c r="F341" s="6">
        <v>1.0786</v>
      </c>
    </row>
    <row r="342" spans="2:6">
      <c r="B342" t="s">
        <v>296</v>
      </c>
      <c r="C342" s="6">
        <v>7.0000000000000001E-3</v>
      </c>
      <c r="D342" s="6">
        <v>-1.8800000000000001E-2</v>
      </c>
      <c r="E342" s="6">
        <v>-2.3E-2</v>
      </c>
      <c r="F342" s="6">
        <v>-5.1999999999999998E-2</v>
      </c>
    </row>
    <row r="343" spans="2:6">
      <c r="B343" t="s">
        <v>300</v>
      </c>
      <c r="C343" s="6">
        <v>0.2923</v>
      </c>
      <c r="D343" s="6">
        <v>0.10829999999999999</v>
      </c>
      <c r="E343" s="6">
        <v>-8.72E-2</v>
      </c>
      <c r="F343" s="6">
        <v>1.34E-2</v>
      </c>
    </row>
    <row r="344" spans="2:6">
      <c r="B344" t="s">
        <v>316</v>
      </c>
      <c r="C344" s="6">
        <v>2.6800000000000001E-2</v>
      </c>
      <c r="D344" s="6">
        <v>4.3700000000000003E-2</v>
      </c>
      <c r="E344" s="6">
        <v>5.8599999999999999E-2</v>
      </c>
      <c r="F344" s="6">
        <v>6.8999999999999999E-3</v>
      </c>
    </row>
    <row r="345" spans="2:6">
      <c r="B345" t="s">
        <v>107</v>
      </c>
      <c r="C345" s="6">
        <v>0.2923</v>
      </c>
      <c r="D345" s="6">
        <v>7.6100000000000001E-2</v>
      </c>
      <c r="E345" s="6">
        <v>0.183</v>
      </c>
      <c r="F345" s="6">
        <v>0.18440000000000001</v>
      </c>
    </row>
    <row r="346" spans="2:6">
      <c r="B346" t="s">
        <v>395</v>
      </c>
      <c r="C346" s="6">
        <v>-0.53129999999999999</v>
      </c>
      <c r="D346" s="6">
        <v>5.1927000000000003</v>
      </c>
      <c r="E346" s="6">
        <v>5.1753999999999998</v>
      </c>
      <c r="F346" s="6">
        <v>5.0639000000000003</v>
      </c>
    </row>
    <row r="347" spans="2:6">
      <c r="B347" t="s">
        <v>315</v>
      </c>
      <c r="C347" s="6">
        <v>0.12429999999999999</v>
      </c>
      <c r="D347" s="6">
        <v>0.1338</v>
      </c>
      <c r="E347" s="6">
        <v>0.18720000000000001</v>
      </c>
      <c r="F347" s="6">
        <v>0.1231</v>
      </c>
    </row>
    <row r="348" spans="2:6">
      <c r="B348" t="s">
        <v>57</v>
      </c>
      <c r="C348" s="6">
        <v>0.15340000000000001</v>
      </c>
      <c r="D348" s="6">
        <v>0.22500000000000001</v>
      </c>
      <c r="E348" s="6">
        <v>0.22220000000000001</v>
      </c>
      <c r="F348" s="6">
        <v>7.8200000000000006E-2</v>
      </c>
    </row>
    <row r="349" spans="2:6">
      <c r="B349" t="s">
        <v>183</v>
      </c>
      <c r="C349" s="6">
        <v>9.0899999999999995E-2</v>
      </c>
      <c r="D349" s="6">
        <v>5.8200000000000002E-2</v>
      </c>
      <c r="E349" s="6">
        <v>4.4699999999999997E-2</v>
      </c>
      <c r="F349" s="6">
        <v>3.8399999999999997E-2</v>
      </c>
    </row>
    <row r="350" spans="2:6">
      <c r="B350" t="s">
        <v>175</v>
      </c>
      <c r="C350" s="6">
        <v>0.17760000000000001</v>
      </c>
      <c r="D350" s="6">
        <v>0.1186</v>
      </c>
      <c r="E350" s="6">
        <v>9.6600000000000005E-2</v>
      </c>
      <c r="F350" s="6">
        <v>9.7699999999999995E-2</v>
      </c>
    </row>
    <row r="351" spans="2:6">
      <c r="B351" t="s">
        <v>274</v>
      </c>
      <c r="C351" s="6">
        <v>-9.1399999999999995E-2</v>
      </c>
      <c r="D351" s="6">
        <v>-5.8599999999999999E-2</v>
      </c>
      <c r="E351" s="6">
        <v>-3.0800000000000001E-2</v>
      </c>
      <c r="F351" s="6">
        <v>-2.92E-2</v>
      </c>
    </row>
    <row r="352" spans="2:6">
      <c r="B352" t="s">
        <v>45</v>
      </c>
      <c r="C352" s="6">
        <v>0.1134</v>
      </c>
      <c r="D352" s="6">
        <v>8.6499999999999994E-2</v>
      </c>
      <c r="E352" s="6">
        <v>6.4100000000000004E-2</v>
      </c>
      <c r="F352" s="6">
        <v>4.4999999999999998E-2</v>
      </c>
    </row>
    <row r="353" spans="2:6">
      <c r="B353" t="s">
        <v>104</v>
      </c>
      <c r="C353" s="6">
        <v>-3.5799999999999998E-2</v>
      </c>
      <c r="D353" s="6">
        <v>4.4499999999999998E-2</v>
      </c>
      <c r="E353" s="6">
        <v>0.12429999999999999</v>
      </c>
      <c r="F353" s="6">
        <v>0.11550000000000001</v>
      </c>
    </row>
    <row r="354" spans="2:6">
      <c r="B354" t="s">
        <v>36</v>
      </c>
      <c r="C354" s="6">
        <v>-0.12839999999999999</v>
      </c>
      <c r="D354" s="6">
        <v>-6.8599999999999994E-2</v>
      </c>
      <c r="E354" s="6">
        <v>-1.23E-2</v>
      </c>
      <c r="F354" s="6">
        <v>-3.6200000000000003E-2</v>
      </c>
    </row>
    <row r="355" spans="2:6">
      <c r="B355" t="s">
        <v>819</v>
      </c>
      <c r="C355" s="6">
        <v>0.2316</v>
      </c>
      <c r="D355" s="6">
        <v>0.18820000000000001</v>
      </c>
      <c r="E355" s="6">
        <v>9.1399999999999995E-2</v>
      </c>
      <c r="F355" s="6">
        <v>-3.5999999999999999E-3</v>
      </c>
    </row>
    <row r="356" spans="2:6">
      <c r="B356" t="s">
        <v>391</v>
      </c>
      <c r="C356" s="6">
        <v>-0.125</v>
      </c>
      <c r="D356" s="6">
        <v>0.21490000000000001</v>
      </c>
      <c r="E356" s="6">
        <v>0.26800000000000002</v>
      </c>
      <c r="F356" s="6">
        <v>0.28989999999999999</v>
      </c>
    </row>
    <row r="357" spans="2:6">
      <c r="B357" t="s">
        <v>323</v>
      </c>
      <c r="C357" s="6">
        <v>2.1000000000000001E-2</v>
      </c>
      <c r="D357" s="6">
        <v>-2.3E-3</v>
      </c>
      <c r="E357" s="6">
        <v>3.3300000000000003E-2</v>
      </c>
      <c r="F357" s="6">
        <v>7.2599999999999998E-2</v>
      </c>
    </row>
    <row r="358" spans="2:6">
      <c r="B358" t="s">
        <v>237</v>
      </c>
      <c r="C358" s="6">
        <v>1.0337000000000001</v>
      </c>
      <c r="D358" s="6">
        <v>0.21479999999999999</v>
      </c>
      <c r="E358" s="6">
        <v>0.27810000000000001</v>
      </c>
      <c r="F358" s="6">
        <v>0.19889999999999999</v>
      </c>
    </row>
    <row r="359" spans="2:6">
      <c r="B359" t="s">
        <v>59</v>
      </c>
      <c r="C359" s="6">
        <v>0.2858</v>
      </c>
      <c r="D359" s="6">
        <v>0.42380000000000001</v>
      </c>
      <c r="E359" s="6">
        <v>0.41970000000000002</v>
      </c>
      <c r="F359" s="6">
        <v>0.33589999999999998</v>
      </c>
    </row>
    <row r="360" spans="2:6">
      <c r="B360" t="s">
        <v>91</v>
      </c>
      <c r="C360" s="6">
        <v>-2.3199999999999998E-2</v>
      </c>
      <c r="D360" s="6">
        <v>-5.6800000000000003E-2</v>
      </c>
      <c r="E360" s="6">
        <v>-6.0999999999999999E-2</v>
      </c>
      <c r="F360" s="6">
        <v>-8.0600000000000005E-2</v>
      </c>
    </row>
    <row r="361" spans="2:6">
      <c r="B361" t="s">
        <v>194</v>
      </c>
      <c r="C361" s="6">
        <v>0.1734</v>
      </c>
      <c r="D361" s="6">
        <v>0.2014</v>
      </c>
      <c r="E361" s="6">
        <v>0.18779999999999999</v>
      </c>
      <c r="F361" s="6">
        <v>0.33189999999999997</v>
      </c>
    </row>
    <row r="362" spans="2:6">
      <c r="B362" t="s">
        <v>89</v>
      </c>
      <c r="C362" s="6">
        <v>0.18110000000000001</v>
      </c>
      <c r="D362" s="6">
        <v>0.2407</v>
      </c>
      <c r="E362" s="6">
        <v>0.23880000000000001</v>
      </c>
      <c r="F362" s="6">
        <v>0.1953</v>
      </c>
    </row>
    <row r="363" spans="2:6">
      <c r="B363" t="s">
        <v>41</v>
      </c>
      <c r="C363" s="6">
        <v>0.1542</v>
      </c>
      <c r="D363" s="6">
        <v>0.23250000000000001</v>
      </c>
      <c r="E363" s="6">
        <v>0.2306</v>
      </c>
      <c r="F363" s="6">
        <v>0.19550000000000001</v>
      </c>
    </row>
    <row r="364" spans="2:6">
      <c r="B364" t="s">
        <v>169</v>
      </c>
      <c r="C364" s="6">
        <v>0.34910000000000002</v>
      </c>
      <c r="D364" s="6">
        <v>0.3745</v>
      </c>
      <c r="E364" s="6">
        <v>9.4299999999999995E-2</v>
      </c>
      <c r="F364" s="6">
        <v>-2.6200000000000001E-2</v>
      </c>
    </row>
    <row r="365" spans="2:6">
      <c r="B365" t="s">
        <v>217</v>
      </c>
      <c r="C365" s="6">
        <v>-0.2361</v>
      </c>
      <c r="D365" s="6">
        <v>-0.31390000000000001</v>
      </c>
      <c r="E365" s="6">
        <v>-0.31390000000000001</v>
      </c>
      <c r="F365" s="6">
        <v>-3.7199999999999997E-2</v>
      </c>
    </row>
    <row r="366" spans="2:6">
      <c r="B366" t="s">
        <v>131</v>
      </c>
      <c r="C366" s="6">
        <v>-4.1000000000000003E-3</v>
      </c>
      <c r="D366" s="6">
        <v>-7.9200000000000007E-2</v>
      </c>
      <c r="E366" s="6">
        <v>-0.17760000000000001</v>
      </c>
      <c r="F366" s="6">
        <v>-0.1883</v>
      </c>
    </row>
    <row r="367" spans="2:6">
      <c r="B367" t="s">
        <v>245</v>
      </c>
      <c r="C367" s="6">
        <v>0.13969999999999999</v>
      </c>
      <c r="D367" s="6">
        <v>7.2900000000000006E-2</v>
      </c>
      <c r="E367" s="6">
        <v>-2.0500000000000001E-2</v>
      </c>
      <c r="F367" s="6">
        <v>-3.1399999999999997E-2</v>
      </c>
    </row>
    <row r="368" spans="2:6">
      <c r="B368" t="s">
        <v>814</v>
      </c>
      <c r="C368" s="6">
        <v>2.92E-2</v>
      </c>
      <c r="D368" s="6">
        <v>1.9400000000000001E-2</v>
      </c>
      <c r="E368" s="6">
        <v>1.72E-2</v>
      </c>
      <c r="F368" s="6">
        <v>1.5699999999999999E-2</v>
      </c>
    </row>
    <row r="369" spans="2:6">
      <c r="B369" t="s">
        <v>321</v>
      </c>
      <c r="C369" s="6">
        <v>-4.1599999999999998E-2</v>
      </c>
      <c r="D369" s="6">
        <v>-4.5999999999999999E-2</v>
      </c>
      <c r="E369" s="6">
        <v>1.43E-2</v>
      </c>
      <c r="F369" s="6">
        <v>1.06E-2</v>
      </c>
    </row>
    <row r="370" spans="2:6">
      <c r="B370" t="s">
        <v>238</v>
      </c>
      <c r="C370" s="6">
        <v>-3.9E-2</v>
      </c>
      <c r="D370" s="6">
        <v>2.4400000000000002E-2</v>
      </c>
      <c r="E370" s="6">
        <v>0.1048</v>
      </c>
      <c r="F370" s="6">
        <v>7.7499999999999999E-2</v>
      </c>
    </row>
  </sheetData>
  <sortState ref="B6:F370">
    <sortCondition ref="B6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topLeftCell="A366" workbookViewId="0">
      <selection activeCell="C6" sqref="C6:F414"/>
    </sheetView>
  </sheetViews>
  <sheetFormatPr defaultRowHeight="15"/>
  <cols>
    <col min="2" max="2" width="37.7109375" bestFit="1" customWidth="1"/>
  </cols>
  <sheetData>
    <row r="6" spans="2:6">
      <c r="B6" t="s">
        <v>409</v>
      </c>
      <c r="C6" s="6">
        <v>2.0500000000000001E-2</v>
      </c>
      <c r="D6" s="6">
        <v>4.2700000000000002E-2</v>
      </c>
      <c r="E6" s="6">
        <v>3.4299999999999997E-2</v>
      </c>
      <c r="F6" s="6">
        <v>5.2499999999999998E-2</v>
      </c>
    </row>
    <row r="7" spans="2:6">
      <c r="B7" t="s">
        <v>23</v>
      </c>
      <c r="C7" s="6">
        <v>4.19E-2</v>
      </c>
      <c r="D7" s="6">
        <v>7.9200000000000007E-2</v>
      </c>
      <c r="E7" s="6">
        <v>3.7400000000000003E-2</v>
      </c>
      <c r="F7" s="6">
        <v>3.3300000000000003E-2</v>
      </c>
    </row>
    <row r="8" spans="2:6">
      <c r="B8" t="s">
        <v>137</v>
      </c>
      <c r="C8" s="6">
        <v>5.4899999999999997E-2</v>
      </c>
      <c r="D8" s="6">
        <v>4.4900000000000002E-2</v>
      </c>
      <c r="E8" s="6">
        <v>3.8100000000000002E-2</v>
      </c>
      <c r="F8" s="6">
        <v>1.8599999999999998E-2</v>
      </c>
    </row>
    <row r="9" spans="2:6">
      <c r="B9" t="s">
        <v>25</v>
      </c>
      <c r="C9" s="6">
        <v>1.7600000000000001E-2</v>
      </c>
      <c r="D9" s="6">
        <v>2.7900000000000001E-2</v>
      </c>
      <c r="E9" s="6">
        <v>5.9400000000000001E-2</v>
      </c>
      <c r="F9" s="6">
        <v>6.54E-2</v>
      </c>
    </row>
    <row r="10" spans="2:6">
      <c r="B10" t="s">
        <v>48</v>
      </c>
      <c r="C10" s="6">
        <v>2.01E-2</v>
      </c>
      <c r="D10" s="6">
        <v>6.8999999999999999E-3</v>
      </c>
      <c r="E10" s="6">
        <v>5.1000000000000004E-3</v>
      </c>
      <c r="F10" s="6">
        <v>9.4000000000000004E-3</v>
      </c>
    </row>
    <row r="11" spans="2:6">
      <c r="B11" t="s">
        <v>111</v>
      </c>
      <c r="C11" s="6">
        <v>5.4999999999999997E-3</v>
      </c>
      <c r="D11" s="6">
        <v>3.6299999999999999E-2</v>
      </c>
      <c r="E11" s="6">
        <v>3.0800000000000001E-2</v>
      </c>
      <c r="F11" s="6">
        <v>1.4200000000000001E-2</v>
      </c>
    </row>
    <row r="12" spans="2:6">
      <c r="B12" t="s">
        <v>63</v>
      </c>
      <c r="C12" s="6">
        <v>3.1699999999999999E-2</v>
      </c>
      <c r="D12" s="6">
        <v>5.8999999999999997E-2</v>
      </c>
      <c r="E12" s="6">
        <v>3.4700000000000002E-2</v>
      </c>
      <c r="F12" s="6">
        <v>4.41E-2</v>
      </c>
    </row>
    <row r="13" spans="2:6">
      <c r="B13" t="s">
        <v>19</v>
      </c>
      <c r="C13" s="6">
        <v>2.2000000000000001E-3</v>
      </c>
      <c r="D13" s="6">
        <v>3.2000000000000002E-3</v>
      </c>
      <c r="E13" s="6">
        <v>1.83E-2</v>
      </c>
      <c r="F13" s="6">
        <v>1.2999999999999999E-3</v>
      </c>
    </row>
    <row r="14" spans="2:6">
      <c r="B14" t="s">
        <v>239</v>
      </c>
      <c r="C14" s="6">
        <v>0.2429</v>
      </c>
      <c r="D14" s="6">
        <v>0.20069999999999999</v>
      </c>
      <c r="E14" s="6">
        <v>0.1206</v>
      </c>
      <c r="F14" s="6">
        <v>4.3799999999999999E-2</v>
      </c>
    </row>
    <row r="15" spans="2:6">
      <c r="B15" t="s">
        <v>66</v>
      </c>
      <c r="C15" s="6">
        <v>4.24E-2</v>
      </c>
      <c r="D15" s="6">
        <v>3.8899999999999997E-2</v>
      </c>
      <c r="E15" s="6">
        <v>6.6500000000000004E-2</v>
      </c>
      <c r="F15" s="6">
        <v>3.9100000000000003E-2</v>
      </c>
    </row>
    <row r="16" spans="2:6">
      <c r="B16" t="s">
        <v>264</v>
      </c>
      <c r="C16" s="6">
        <v>1E-3</v>
      </c>
      <c r="D16" s="6">
        <v>2.0000000000000001E-4</v>
      </c>
      <c r="E16" s="6">
        <v>0</v>
      </c>
      <c r="F16" s="6">
        <v>1E-4</v>
      </c>
    </row>
    <row r="17" spans="2:6">
      <c r="B17" t="s">
        <v>269</v>
      </c>
      <c r="C17" s="6">
        <v>6.9099999999999995E-2</v>
      </c>
      <c r="D17" s="6">
        <v>2.5000000000000001E-3</v>
      </c>
      <c r="E17" s="6">
        <v>1.9E-3</v>
      </c>
      <c r="F17" s="6">
        <v>7.1999999999999998E-3</v>
      </c>
    </row>
    <row r="18" spans="2:6">
      <c r="B18" t="s">
        <v>71</v>
      </c>
      <c r="C18" s="6">
        <v>6.0000000000000001E-3</v>
      </c>
      <c r="D18" s="6">
        <v>3.5499999999999997E-2</v>
      </c>
      <c r="E18" s="6">
        <v>1.83E-2</v>
      </c>
      <c r="F18" s="6">
        <v>7.6E-3</v>
      </c>
    </row>
    <row r="19" spans="2:6">
      <c r="B19" t="s">
        <v>477</v>
      </c>
      <c r="C19" s="6">
        <v>0.223</v>
      </c>
      <c r="D19" s="6">
        <v>3.44E-2</v>
      </c>
      <c r="E19" s="6">
        <v>9.4100000000000003E-2</v>
      </c>
      <c r="F19" s="6">
        <v>2.3199999999999998E-2</v>
      </c>
    </row>
    <row r="20" spans="2:6">
      <c r="B20" t="s">
        <v>392</v>
      </c>
      <c r="C20" s="6">
        <v>1.2E-2</v>
      </c>
      <c r="D20" s="6">
        <v>0.10580000000000001</v>
      </c>
      <c r="E20" s="6">
        <v>3.5999999999999997E-2</v>
      </c>
      <c r="F20" s="6">
        <v>5.1900000000000002E-2</v>
      </c>
    </row>
    <row r="21" spans="2:6">
      <c r="B21" t="s">
        <v>233</v>
      </c>
      <c r="C21" s="6">
        <v>2.0000000000000001E-4</v>
      </c>
      <c r="D21" s="6">
        <v>1.1999999999999999E-3</v>
      </c>
      <c r="E21" s="6">
        <v>4.3E-3</v>
      </c>
      <c r="F21" s="6">
        <v>1.23E-2</v>
      </c>
    </row>
    <row r="22" spans="2:6">
      <c r="B22" t="s">
        <v>380</v>
      </c>
      <c r="C22" s="6">
        <v>0.1008</v>
      </c>
      <c r="D22" s="6">
        <v>3.6299999999999999E-2</v>
      </c>
      <c r="E22" s="6">
        <v>1.2800000000000001E-2</v>
      </c>
      <c r="F22" s="6">
        <v>1.84E-2</v>
      </c>
    </row>
    <row r="23" spans="2:6">
      <c r="B23" t="s">
        <v>47</v>
      </c>
      <c r="C23" s="6">
        <v>1.2E-2</v>
      </c>
      <c r="D23" s="6">
        <v>8.5000000000000006E-3</v>
      </c>
      <c r="E23" s="6">
        <v>8.6999999999999994E-3</v>
      </c>
      <c r="F23" s="6">
        <v>1.0999999999999999E-2</v>
      </c>
    </row>
    <row r="24" spans="2:6">
      <c r="B24" t="s">
        <v>102</v>
      </c>
      <c r="C24" s="6">
        <v>0.10349999999999999</v>
      </c>
      <c r="D24" s="6">
        <v>6.13E-2</v>
      </c>
      <c r="E24" s="6">
        <v>5.0500000000000003E-2</v>
      </c>
      <c r="F24" s="6">
        <v>6.7299999999999999E-2</v>
      </c>
    </row>
    <row r="25" spans="2:6">
      <c r="B25" t="s">
        <v>27</v>
      </c>
      <c r="C25" s="6">
        <v>4.0399999999999998E-2</v>
      </c>
      <c r="D25" s="6">
        <v>7.8399999999999997E-2</v>
      </c>
      <c r="E25" s="6">
        <v>6.8900000000000003E-2</v>
      </c>
      <c r="F25" s="6">
        <v>3.9600000000000003E-2</v>
      </c>
    </row>
    <row r="26" spans="2:6">
      <c r="B26" t="s">
        <v>311</v>
      </c>
      <c r="C26" s="6">
        <v>1.9300000000000001E-2</v>
      </c>
      <c r="D26" s="6">
        <v>2.01E-2</v>
      </c>
      <c r="E26" s="6">
        <v>2.8400000000000002E-2</v>
      </c>
      <c r="F26" s="6">
        <v>1.7100000000000001E-2</v>
      </c>
    </row>
    <row r="27" spans="2:6">
      <c r="B27" t="s">
        <v>328</v>
      </c>
      <c r="C27" s="6">
        <v>5.3E-3</v>
      </c>
      <c r="D27" s="6">
        <v>1.2999999999999999E-3</v>
      </c>
      <c r="E27" s="6">
        <v>6.9999999999999999E-4</v>
      </c>
      <c r="F27" s="6">
        <v>2.0999999999999999E-3</v>
      </c>
    </row>
    <row r="28" spans="2:6">
      <c r="B28" t="s">
        <v>302</v>
      </c>
      <c r="C28" s="6">
        <v>1.9199999999999998E-2</v>
      </c>
      <c r="D28" s="6">
        <v>1.6E-2</v>
      </c>
      <c r="E28" s="6">
        <v>1.18E-2</v>
      </c>
      <c r="F28" s="6">
        <v>3.4200000000000001E-2</v>
      </c>
    </row>
    <row r="29" spans="2:6">
      <c r="B29" t="s">
        <v>824</v>
      </c>
      <c r="C29" s="6">
        <v>8.7999999999999995E-2</v>
      </c>
      <c r="D29" s="6">
        <v>3.7400000000000003E-2</v>
      </c>
      <c r="E29" s="6">
        <v>0.40479999999999999</v>
      </c>
      <c r="F29" s="6">
        <v>7.3000000000000001E-3</v>
      </c>
    </row>
    <row r="30" spans="2:6">
      <c r="B30" t="s">
        <v>339</v>
      </c>
      <c r="C30" s="6">
        <v>6.8000000000000005E-2</v>
      </c>
      <c r="D30" s="6">
        <v>0.53959999999999997</v>
      </c>
      <c r="E30" s="6">
        <v>0.16839999999999999</v>
      </c>
      <c r="F30" s="6">
        <v>0.621</v>
      </c>
    </row>
    <row r="31" spans="2:6">
      <c r="B31" t="s">
        <v>478</v>
      </c>
      <c r="C31" s="6">
        <v>1.2999999999999999E-3</v>
      </c>
      <c r="D31" s="6">
        <v>5.0000000000000001E-4</v>
      </c>
      <c r="E31" s="6">
        <v>4.0000000000000002E-4</v>
      </c>
      <c r="F31" s="6">
        <v>5.9499999999999997E-2</v>
      </c>
    </row>
    <row r="32" spans="2:6">
      <c r="B32" t="s">
        <v>113</v>
      </c>
      <c r="C32" s="6">
        <v>4.9500000000000002E-2</v>
      </c>
      <c r="D32" s="6">
        <v>4.4900000000000002E-2</v>
      </c>
      <c r="E32" s="6">
        <v>4.9700000000000001E-2</v>
      </c>
      <c r="F32" s="6">
        <v>2.5100000000000001E-2</v>
      </c>
    </row>
    <row r="33" spans="2:6">
      <c r="B33" t="s">
        <v>299</v>
      </c>
      <c r="C33" s="6">
        <v>0.32800000000000001</v>
      </c>
      <c r="D33" s="6">
        <v>0.1729</v>
      </c>
      <c r="E33" s="6">
        <v>0.26050000000000001</v>
      </c>
      <c r="F33" s="6">
        <v>0.11219999999999999</v>
      </c>
    </row>
    <row r="34" spans="2:6">
      <c r="B34" t="s">
        <v>144</v>
      </c>
      <c r="C34" s="6">
        <v>5.3600000000000002E-2</v>
      </c>
      <c r="D34" s="6">
        <v>1.0999999999999999E-2</v>
      </c>
      <c r="E34" s="6">
        <v>1.9800000000000002E-2</v>
      </c>
      <c r="F34" s="6">
        <v>3.1399999999999997E-2</v>
      </c>
    </row>
    <row r="35" spans="2:6">
      <c r="B35" t="s">
        <v>277</v>
      </c>
      <c r="C35" s="6">
        <v>3.3999999999999998E-3</v>
      </c>
      <c r="D35" s="6">
        <v>0</v>
      </c>
      <c r="E35" s="6">
        <v>1.8200000000000001E-2</v>
      </c>
      <c r="F35" s="6">
        <v>4.2599999999999999E-2</v>
      </c>
    </row>
    <row r="36" spans="2:6">
      <c r="B36" t="s">
        <v>145</v>
      </c>
      <c r="C36" s="6">
        <v>0.19939999999999999</v>
      </c>
      <c r="D36" s="6">
        <v>8.5099999999999995E-2</v>
      </c>
      <c r="E36" s="6">
        <v>1.6500000000000001E-2</v>
      </c>
      <c r="F36" s="6">
        <v>0.1128</v>
      </c>
    </row>
    <row r="37" spans="2:6">
      <c r="B37" t="s">
        <v>155</v>
      </c>
      <c r="C37" s="6">
        <v>9.9900000000000003E-2</v>
      </c>
      <c r="D37" s="6">
        <v>7.1099999999999997E-2</v>
      </c>
      <c r="E37" s="6">
        <v>6.1899999999999997E-2</v>
      </c>
      <c r="F37" s="6">
        <v>4.8599999999999997E-2</v>
      </c>
    </row>
    <row r="38" spans="2:6">
      <c r="B38" t="s">
        <v>185</v>
      </c>
      <c r="C38" s="6">
        <v>2.2800000000000001E-2</v>
      </c>
      <c r="D38" s="6">
        <v>6.4999999999999997E-3</v>
      </c>
      <c r="E38" s="6">
        <v>9.5999999999999992E-3</v>
      </c>
      <c r="F38" s="6">
        <v>1.0999999999999999E-2</v>
      </c>
    </row>
    <row r="39" spans="2:6">
      <c r="B39" t="s">
        <v>30</v>
      </c>
      <c r="C39" s="6">
        <v>2.9600000000000001E-2</v>
      </c>
      <c r="D39" s="6">
        <v>3.7400000000000003E-2</v>
      </c>
      <c r="E39" s="6">
        <v>4.3799999999999999E-2</v>
      </c>
      <c r="F39" s="6">
        <v>3.5799999999999998E-2</v>
      </c>
    </row>
    <row r="40" spans="2:6">
      <c r="B40" t="s">
        <v>251</v>
      </c>
      <c r="C40" s="6">
        <v>3.0700000000000002E-2</v>
      </c>
      <c r="D40" s="6">
        <v>2.6800000000000001E-2</v>
      </c>
      <c r="E40" s="6">
        <v>3.3599999999999998E-2</v>
      </c>
      <c r="F40" s="6">
        <v>2.8400000000000002E-2</v>
      </c>
    </row>
    <row r="41" spans="2:6">
      <c r="B41" t="s">
        <v>20</v>
      </c>
      <c r="C41" s="6">
        <v>1E-4</v>
      </c>
      <c r="D41" s="6">
        <v>2.0000000000000001E-4</v>
      </c>
      <c r="E41" s="6">
        <v>1E-4</v>
      </c>
      <c r="F41" s="6">
        <v>1E-4</v>
      </c>
    </row>
    <row r="42" spans="2:6">
      <c r="B42" t="s">
        <v>207</v>
      </c>
      <c r="C42" s="6">
        <v>5.3E-3</v>
      </c>
      <c r="D42" s="6">
        <v>3.2099999999999997E-2</v>
      </c>
      <c r="E42" s="6">
        <v>4.4999999999999997E-3</v>
      </c>
      <c r="F42" s="6">
        <v>0.16969999999999999</v>
      </c>
    </row>
    <row r="43" spans="2:6">
      <c r="B43" t="s">
        <v>222</v>
      </c>
      <c r="C43" s="6">
        <v>2.93E-2</v>
      </c>
      <c r="D43" s="6">
        <v>1.3299999999999999E-2</v>
      </c>
      <c r="E43" s="6">
        <v>1.4999999999999999E-2</v>
      </c>
      <c r="F43" s="6">
        <v>3.9300000000000002E-2</v>
      </c>
    </row>
    <row r="44" spans="2:6">
      <c r="B44" t="s">
        <v>177</v>
      </c>
      <c r="C44" s="6">
        <v>9.74E-2</v>
      </c>
      <c r="D44" s="6">
        <v>7.4800000000000005E-2</v>
      </c>
      <c r="E44" s="6">
        <v>0.128</v>
      </c>
      <c r="F44" s="6">
        <v>0.11459999999999999</v>
      </c>
    </row>
    <row r="45" spans="2:6">
      <c r="B45" t="s">
        <v>317</v>
      </c>
      <c r="C45" s="6">
        <v>1.11E-2</v>
      </c>
      <c r="D45" s="6">
        <v>1.26E-2</v>
      </c>
      <c r="E45" s="6">
        <v>8.8999999999999999E-3</v>
      </c>
      <c r="F45" s="6">
        <v>1.04E-2</v>
      </c>
    </row>
    <row r="46" spans="2:6">
      <c r="B46" t="s">
        <v>103</v>
      </c>
      <c r="C46" s="6">
        <v>6.0000000000000001E-3</v>
      </c>
      <c r="D46" s="6">
        <v>4.1000000000000003E-3</v>
      </c>
      <c r="E46" s="6">
        <v>5.8999999999999999E-3</v>
      </c>
      <c r="F46" s="6">
        <v>5.3E-3</v>
      </c>
    </row>
    <row r="47" spans="2:6">
      <c r="B47" t="s">
        <v>179</v>
      </c>
      <c r="C47" s="6">
        <v>6.1999999999999998E-3</v>
      </c>
      <c r="D47" s="6">
        <v>2.2000000000000001E-3</v>
      </c>
      <c r="E47" s="6">
        <v>4.5999999999999999E-3</v>
      </c>
      <c r="F47" s="6">
        <v>1.6000000000000001E-3</v>
      </c>
    </row>
    <row r="48" spans="2:6">
      <c r="B48" t="s">
        <v>215</v>
      </c>
      <c r="C48" s="6">
        <v>0.1769</v>
      </c>
      <c r="D48" s="6">
        <v>0.18779999999999999</v>
      </c>
      <c r="E48" s="6">
        <v>0.15909999999999999</v>
      </c>
      <c r="F48" s="6">
        <v>0.17080000000000001</v>
      </c>
    </row>
    <row r="49" spans="2:6">
      <c r="B49" t="s">
        <v>418</v>
      </c>
      <c r="C49" s="6">
        <v>6.5299999999999997E-2</v>
      </c>
      <c r="D49" s="6">
        <v>6.7400000000000002E-2</v>
      </c>
      <c r="E49" s="6">
        <v>0.15809999999999999</v>
      </c>
      <c r="F49" s="6">
        <v>8.7900000000000006E-2</v>
      </c>
    </row>
    <row r="50" spans="2:6">
      <c r="B50" t="s">
        <v>6</v>
      </c>
      <c r="C50" s="6">
        <v>3.2199999999999999E-2</v>
      </c>
      <c r="D50" s="6">
        <v>7.1400000000000005E-2</v>
      </c>
      <c r="E50" s="6">
        <v>7.6300000000000007E-2</v>
      </c>
      <c r="F50" s="6">
        <v>6.7199999999999996E-2</v>
      </c>
    </row>
    <row r="51" spans="2:6">
      <c r="B51" t="s">
        <v>398</v>
      </c>
      <c r="C51" s="6">
        <v>5.6300000000000003E-2</v>
      </c>
      <c r="D51" s="6">
        <v>4.1200000000000001E-2</v>
      </c>
      <c r="E51" s="6">
        <v>8.0600000000000005E-2</v>
      </c>
      <c r="F51" s="6">
        <v>5.1999999999999998E-2</v>
      </c>
    </row>
    <row r="52" spans="2:6">
      <c r="B52" t="s">
        <v>314</v>
      </c>
      <c r="C52" s="6">
        <v>1.47E-2</v>
      </c>
      <c r="D52" s="6">
        <v>5.7000000000000002E-3</v>
      </c>
      <c r="E52" s="6">
        <v>1.6E-2</v>
      </c>
      <c r="F52" s="6">
        <v>1.46E-2</v>
      </c>
    </row>
    <row r="53" spans="2:6">
      <c r="B53" t="s">
        <v>56</v>
      </c>
      <c r="C53" s="6">
        <v>1.44E-2</v>
      </c>
      <c r="D53" s="6">
        <v>1.43E-2</v>
      </c>
      <c r="E53" s="6">
        <v>3.78E-2</v>
      </c>
      <c r="F53" s="6">
        <v>4.5400000000000003E-2</v>
      </c>
    </row>
    <row r="54" spans="2:6">
      <c r="B54" t="s">
        <v>282</v>
      </c>
      <c r="C54" s="6">
        <v>3.1600000000000003E-2</v>
      </c>
      <c r="D54" s="6">
        <v>5.67E-2</v>
      </c>
      <c r="E54" s="6">
        <v>3.85E-2</v>
      </c>
      <c r="F54" s="6">
        <v>1.7999999999999999E-2</v>
      </c>
    </row>
    <row r="55" spans="2:6">
      <c r="B55" t="s">
        <v>332</v>
      </c>
      <c r="C55" s="6">
        <v>1.8100000000000002E-2</v>
      </c>
      <c r="D55" s="6">
        <v>5.3699999999999998E-2</v>
      </c>
      <c r="E55" s="6">
        <v>9.2700000000000005E-2</v>
      </c>
      <c r="F55" s="6">
        <v>1.9199999999999998E-2</v>
      </c>
    </row>
    <row r="56" spans="2:6">
      <c r="B56" t="s">
        <v>227</v>
      </c>
      <c r="C56" s="6">
        <v>3.7100000000000001E-2</v>
      </c>
      <c r="D56" s="6">
        <v>7.85E-2</v>
      </c>
      <c r="E56" s="6">
        <v>3.5799999999999998E-2</v>
      </c>
      <c r="F56" s="6">
        <v>5.0599999999999999E-2</v>
      </c>
    </row>
    <row r="57" spans="2:6">
      <c r="B57" t="s">
        <v>178</v>
      </c>
      <c r="C57" s="6">
        <v>1E-4</v>
      </c>
      <c r="D57" s="6">
        <v>1E-3</v>
      </c>
      <c r="E57" s="6">
        <v>5.0000000000000001E-4</v>
      </c>
      <c r="F57" s="6">
        <v>1E-4</v>
      </c>
    </row>
    <row r="58" spans="2:6">
      <c r="B58" t="s">
        <v>200</v>
      </c>
      <c r="C58" s="6">
        <v>6.3E-3</v>
      </c>
      <c r="D58" s="6">
        <v>5.9999999999999995E-4</v>
      </c>
      <c r="E58" s="6">
        <v>5.0000000000000001E-4</v>
      </c>
      <c r="F58" s="6">
        <v>1.9900000000000001E-2</v>
      </c>
    </row>
    <row r="59" spans="2:6">
      <c r="B59" t="s">
        <v>275</v>
      </c>
      <c r="C59" s="6">
        <v>1.24E-2</v>
      </c>
      <c r="D59" s="6">
        <v>1.34E-2</v>
      </c>
      <c r="E59" s="6">
        <v>1.2999999999999999E-3</v>
      </c>
      <c r="F59" s="6">
        <v>8.9999999999999998E-4</v>
      </c>
    </row>
    <row r="60" spans="2:6">
      <c r="B60" t="s">
        <v>400</v>
      </c>
      <c r="C60" s="6">
        <v>1.2999999999999999E-3</v>
      </c>
      <c r="D60" s="6">
        <v>1.1000000000000001E-3</v>
      </c>
      <c r="E60" s="6">
        <v>1.8E-3</v>
      </c>
      <c r="F60" s="6">
        <v>2.0999999999999999E-3</v>
      </c>
    </row>
    <row r="61" spans="2:6">
      <c r="B61" t="s">
        <v>67</v>
      </c>
      <c r="C61" s="6">
        <v>0.38219999999999998</v>
      </c>
      <c r="D61" s="6">
        <v>6.4399999999999999E-2</v>
      </c>
      <c r="E61" s="6">
        <v>0.2157</v>
      </c>
      <c r="F61" s="6">
        <v>0.08</v>
      </c>
    </row>
    <row r="62" spans="2:6">
      <c r="B62" t="s">
        <v>212</v>
      </c>
      <c r="C62" s="6">
        <v>1.9800000000000002E-2</v>
      </c>
      <c r="D62" s="6">
        <v>1.8200000000000001E-2</v>
      </c>
      <c r="E62" s="6">
        <v>8.7599999999999997E-2</v>
      </c>
      <c r="F62" s="6">
        <v>8.0000000000000002E-3</v>
      </c>
    </row>
    <row r="63" spans="2:6">
      <c r="B63" t="s">
        <v>244</v>
      </c>
      <c r="C63" s="6">
        <v>0.12470000000000001</v>
      </c>
      <c r="D63" s="6">
        <v>4.3200000000000002E-2</v>
      </c>
      <c r="E63" s="6">
        <v>0.15229999999999999</v>
      </c>
      <c r="F63" s="6">
        <v>0.1885</v>
      </c>
    </row>
    <row r="64" spans="2:6">
      <c r="B64" t="s">
        <v>496</v>
      </c>
      <c r="C64" s="6">
        <v>9.1000000000000004E-3</v>
      </c>
      <c r="D64" s="6">
        <v>0.13619999999999999</v>
      </c>
      <c r="E64" s="6">
        <v>0.4375</v>
      </c>
      <c r="F64" s="6">
        <v>0.2596</v>
      </c>
    </row>
    <row r="65" spans="2:6">
      <c r="B65" t="s">
        <v>52</v>
      </c>
      <c r="C65" s="6">
        <v>3.9600000000000003E-2</v>
      </c>
      <c r="D65" s="6">
        <v>5.8500000000000003E-2</v>
      </c>
      <c r="E65" s="6">
        <v>0.20680000000000001</v>
      </c>
      <c r="F65" s="6">
        <v>1.83E-2</v>
      </c>
    </row>
    <row r="66" spans="2:6">
      <c r="B66" t="s">
        <v>134</v>
      </c>
      <c r="C66" s="6">
        <v>3.8399999999999997E-2</v>
      </c>
      <c r="D66" s="6">
        <v>4.0899999999999999E-2</v>
      </c>
      <c r="E66" s="6">
        <v>4.7300000000000002E-2</v>
      </c>
      <c r="F66" s="6">
        <v>2.1100000000000001E-2</v>
      </c>
    </row>
    <row r="67" spans="2:6">
      <c r="B67" t="s">
        <v>259</v>
      </c>
      <c r="C67" s="6">
        <v>1.5900000000000001E-2</v>
      </c>
      <c r="D67" s="6">
        <v>4.5199999999999997E-2</v>
      </c>
      <c r="E67" s="6">
        <v>4.3900000000000002E-2</v>
      </c>
      <c r="F67" s="6">
        <v>1.12E-2</v>
      </c>
    </row>
    <row r="68" spans="2:6">
      <c r="B68" t="s">
        <v>32</v>
      </c>
      <c r="C68" s="6">
        <v>1.6500000000000001E-2</v>
      </c>
      <c r="D68" s="6">
        <v>3.1800000000000002E-2</v>
      </c>
      <c r="E68" s="6">
        <v>3.6400000000000002E-2</v>
      </c>
      <c r="F68" s="6">
        <v>4.9599999999999998E-2</v>
      </c>
    </row>
    <row r="69" spans="2:6">
      <c r="B69" t="s">
        <v>276</v>
      </c>
      <c r="C69" s="6">
        <v>4.4999999999999997E-3</v>
      </c>
      <c r="D69" s="6">
        <v>0.01</v>
      </c>
      <c r="E69" s="6">
        <v>9.7000000000000003E-3</v>
      </c>
      <c r="F69" s="6">
        <v>5.0000000000000001E-4</v>
      </c>
    </row>
    <row r="70" spans="2:6">
      <c r="B70" t="s">
        <v>273</v>
      </c>
      <c r="C70" s="6">
        <v>9.8699999999999996E-2</v>
      </c>
      <c r="D70" s="6">
        <v>7.2599999999999998E-2</v>
      </c>
      <c r="E70" s="6">
        <v>7.0000000000000007E-2</v>
      </c>
      <c r="F70" s="6">
        <v>7.17E-2</v>
      </c>
    </row>
    <row r="71" spans="2:6">
      <c r="B71" t="s">
        <v>106</v>
      </c>
      <c r="C71" s="6">
        <v>2.0199999999999999E-2</v>
      </c>
      <c r="D71" s="6">
        <v>4.3E-3</v>
      </c>
      <c r="E71" s="6">
        <v>2E-3</v>
      </c>
      <c r="F71" s="6">
        <v>2.3999999999999998E-3</v>
      </c>
    </row>
    <row r="72" spans="2:6">
      <c r="B72" t="s">
        <v>8</v>
      </c>
      <c r="C72" s="6">
        <v>4.0000000000000002E-4</v>
      </c>
      <c r="D72" s="6">
        <v>0</v>
      </c>
      <c r="E72" s="6">
        <v>0</v>
      </c>
      <c r="F72" s="6">
        <v>0</v>
      </c>
    </row>
    <row r="73" spans="2:6">
      <c r="B73" t="s">
        <v>2</v>
      </c>
      <c r="C73" s="6">
        <v>1.6999999999999999E-3</v>
      </c>
      <c r="D73" s="6">
        <v>3.7000000000000002E-3</v>
      </c>
      <c r="E73" s="6">
        <v>1.18E-2</v>
      </c>
      <c r="F73" s="6">
        <v>1.6999999999999999E-3</v>
      </c>
    </row>
    <row r="74" spans="2:6">
      <c r="B74" t="s">
        <v>42</v>
      </c>
      <c r="C74" s="6">
        <v>3.5000000000000001E-3</v>
      </c>
      <c r="D74" s="6">
        <v>1.9E-3</v>
      </c>
      <c r="E74" s="6">
        <v>8.9999999999999998E-4</v>
      </c>
      <c r="F74" s="6">
        <v>7.1999999999999998E-3</v>
      </c>
    </row>
    <row r="75" spans="2:6">
      <c r="B75" t="s">
        <v>247</v>
      </c>
      <c r="C75" s="6">
        <v>0.27039999999999997</v>
      </c>
      <c r="D75" s="6">
        <v>3.9600000000000003E-2</v>
      </c>
      <c r="E75" s="6">
        <v>1.4E-3</v>
      </c>
      <c r="F75" s="6">
        <v>0.24629999999999999</v>
      </c>
    </row>
    <row r="76" spans="2:6">
      <c r="B76" t="s">
        <v>381</v>
      </c>
      <c r="C76" s="6">
        <v>0.43640000000000001</v>
      </c>
      <c r="D76" s="6">
        <v>8.1100000000000005E-2</v>
      </c>
      <c r="E76" s="6">
        <v>3.27E-2</v>
      </c>
      <c r="F76" s="6">
        <v>0.1293</v>
      </c>
    </row>
    <row r="77" spans="2:6">
      <c r="B77" t="s">
        <v>371</v>
      </c>
      <c r="C77" s="6">
        <v>8.9899999999999994E-2</v>
      </c>
      <c r="D77" s="6">
        <v>5.1700000000000003E-2</v>
      </c>
      <c r="E77" s="6">
        <v>7.8799999999999995E-2</v>
      </c>
      <c r="F77" s="6">
        <v>0.12809999999999999</v>
      </c>
    </row>
    <row r="78" spans="2:6">
      <c r="B78" t="s">
        <v>492</v>
      </c>
      <c r="C78" s="6">
        <v>7.0800000000000002E-2</v>
      </c>
      <c r="D78" s="6">
        <v>5.7599999999999998E-2</v>
      </c>
      <c r="E78" s="6">
        <v>5.9400000000000001E-2</v>
      </c>
      <c r="F78" s="6">
        <v>6.4699999999999994E-2</v>
      </c>
    </row>
    <row r="79" spans="2:6">
      <c r="B79" t="s">
        <v>96</v>
      </c>
      <c r="C79" s="6">
        <v>5.5800000000000002E-2</v>
      </c>
      <c r="D79" s="6">
        <v>0.14660000000000001</v>
      </c>
      <c r="E79" s="6">
        <v>4.7199999999999999E-2</v>
      </c>
      <c r="F79" s="6">
        <v>5.1400000000000001E-2</v>
      </c>
    </row>
    <row r="80" spans="2:6">
      <c r="B80" t="s">
        <v>127</v>
      </c>
      <c r="C80" s="6">
        <v>5.6300000000000003E-2</v>
      </c>
      <c r="D80" s="6">
        <v>3.32E-2</v>
      </c>
      <c r="E80" s="6">
        <v>8.14E-2</v>
      </c>
      <c r="F80" s="6">
        <v>5.0099999999999999E-2</v>
      </c>
    </row>
    <row r="81" spans="2:6">
      <c r="B81" t="s">
        <v>191</v>
      </c>
      <c r="C81" s="6">
        <v>7.1199999999999999E-2</v>
      </c>
      <c r="D81" s="6">
        <v>0.35439999999999999</v>
      </c>
      <c r="E81" s="6">
        <v>0.16550000000000001</v>
      </c>
      <c r="F81" s="6">
        <v>3.9800000000000002E-2</v>
      </c>
    </row>
    <row r="82" spans="2:6">
      <c r="B82" t="s">
        <v>187</v>
      </c>
      <c r="C82" s="6">
        <v>2.9700000000000001E-2</v>
      </c>
      <c r="D82" s="6">
        <v>9.1000000000000004E-3</v>
      </c>
      <c r="E82" s="6">
        <v>4.3E-3</v>
      </c>
      <c r="F82" s="6">
        <v>8.8000000000000005E-3</v>
      </c>
    </row>
    <row r="83" spans="2:6">
      <c r="B83" t="s">
        <v>136</v>
      </c>
      <c r="C83" s="6">
        <v>0.13450000000000001</v>
      </c>
      <c r="D83" s="6">
        <v>9.0800000000000006E-2</v>
      </c>
      <c r="E83" s="6">
        <v>0.16070000000000001</v>
      </c>
      <c r="F83" s="6">
        <v>6.8199999999999997E-2</v>
      </c>
    </row>
    <row r="84" spans="2:6">
      <c r="B84" t="s">
        <v>220</v>
      </c>
      <c r="C84" s="6">
        <v>3.4099999999999998E-2</v>
      </c>
      <c r="D84" s="6">
        <v>5.3999999999999999E-2</v>
      </c>
      <c r="E84" s="6">
        <v>6.4500000000000002E-2</v>
      </c>
      <c r="F84" s="6">
        <v>5.4800000000000001E-2</v>
      </c>
    </row>
    <row r="85" spans="2:6">
      <c r="B85" t="s">
        <v>35</v>
      </c>
      <c r="C85" s="6">
        <v>3.4299999999999997E-2</v>
      </c>
      <c r="D85" s="6">
        <v>8.8300000000000003E-2</v>
      </c>
      <c r="E85" s="6">
        <v>0.1149</v>
      </c>
      <c r="F85" s="6">
        <v>0.1163</v>
      </c>
    </row>
    <row r="86" spans="2:6">
      <c r="B86" t="s">
        <v>95</v>
      </c>
      <c r="C86" s="6">
        <v>8.7099999999999997E-2</v>
      </c>
      <c r="D86" s="6">
        <v>2.5700000000000001E-2</v>
      </c>
      <c r="E86" s="6">
        <v>3.1099999999999999E-2</v>
      </c>
      <c r="F86" s="6">
        <v>5.8999999999999997E-2</v>
      </c>
    </row>
    <row r="87" spans="2:6">
      <c r="B87" t="s">
        <v>109</v>
      </c>
      <c r="C87" s="6">
        <v>8.0299999999999996E-2</v>
      </c>
      <c r="D87" s="6">
        <v>0.06</v>
      </c>
      <c r="E87" s="6">
        <v>3.4799999999999998E-2</v>
      </c>
      <c r="F87" s="6">
        <v>1.46E-2</v>
      </c>
    </row>
    <row r="88" spans="2:6">
      <c r="B88" t="s">
        <v>77</v>
      </c>
      <c r="C88" s="6">
        <v>1.9E-2</v>
      </c>
      <c r="D88" s="6">
        <v>5.6000000000000001E-2</v>
      </c>
      <c r="E88" s="6">
        <v>3.3500000000000002E-2</v>
      </c>
      <c r="F88" s="6">
        <v>2.9399999999999999E-2</v>
      </c>
    </row>
    <row r="89" spans="2:6">
      <c r="B89" t="s">
        <v>396</v>
      </c>
      <c r="C89" s="6">
        <v>4.7000000000000002E-3</v>
      </c>
      <c r="D89" s="6">
        <v>4.4999999999999997E-3</v>
      </c>
      <c r="E89" s="6">
        <v>5.6899999999999999E-2</v>
      </c>
      <c r="F89" s="6">
        <v>6.0100000000000001E-2</v>
      </c>
    </row>
    <row r="90" spans="2:6">
      <c r="B90" t="s">
        <v>265</v>
      </c>
      <c r="C90" s="6">
        <v>2.0999999999999999E-3</v>
      </c>
      <c r="D90" s="6">
        <v>5.8999999999999999E-3</v>
      </c>
      <c r="E90" s="6">
        <v>1.1000000000000001E-3</v>
      </c>
      <c r="F90" s="6">
        <v>9.1999999999999998E-3</v>
      </c>
    </row>
    <row r="91" spans="2:6">
      <c r="B91" t="s">
        <v>235</v>
      </c>
      <c r="C91" s="6">
        <v>5.4699999999999999E-2</v>
      </c>
      <c r="D91" s="6">
        <v>0.17119999999999999</v>
      </c>
      <c r="E91" s="6">
        <v>0.14449999999999999</v>
      </c>
      <c r="F91" s="6">
        <v>0.1084</v>
      </c>
    </row>
    <row r="92" spans="2:6">
      <c r="B92" t="s">
        <v>407</v>
      </c>
      <c r="C92" s="6">
        <v>8.8000000000000005E-3</v>
      </c>
      <c r="D92" s="6">
        <v>5.1999999999999998E-3</v>
      </c>
      <c r="E92" s="6">
        <v>2.69E-2</v>
      </c>
      <c r="F92" s="6">
        <v>1.9400000000000001E-2</v>
      </c>
    </row>
    <row r="93" spans="2:6">
      <c r="B93" t="s">
        <v>129</v>
      </c>
      <c r="C93" s="6">
        <v>8.4400000000000003E-2</v>
      </c>
      <c r="D93" s="6">
        <v>1.1000000000000001E-3</v>
      </c>
      <c r="E93" s="6">
        <v>1.5E-3</v>
      </c>
      <c r="F93" s="6">
        <v>2.8E-3</v>
      </c>
    </row>
    <row r="94" spans="2:6">
      <c r="B94" t="s">
        <v>188</v>
      </c>
      <c r="C94" s="6">
        <v>2.24E-2</v>
      </c>
      <c r="D94" s="6">
        <v>5.0200000000000002E-2</v>
      </c>
      <c r="E94" s="6">
        <v>1.01E-2</v>
      </c>
      <c r="F94" s="6">
        <v>2.6200000000000001E-2</v>
      </c>
    </row>
    <row r="95" spans="2:6">
      <c r="B95" t="s">
        <v>121</v>
      </c>
      <c r="C95" s="6">
        <v>6.4000000000000003E-3</v>
      </c>
      <c r="D95" s="6">
        <v>1.34E-2</v>
      </c>
      <c r="E95" s="6">
        <v>1.03E-2</v>
      </c>
      <c r="F95" s="6">
        <v>5.4999999999999997E-3</v>
      </c>
    </row>
    <row r="96" spans="2:6">
      <c r="B96" t="s">
        <v>3</v>
      </c>
      <c r="C96" s="6">
        <v>4.3099999999999999E-2</v>
      </c>
      <c r="D96" s="6">
        <v>0.1096</v>
      </c>
      <c r="E96" s="6">
        <v>1.7999999999999999E-2</v>
      </c>
      <c r="F96" s="6">
        <v>4.6699999999999998E-2</v>
      </c>
    </row>
    <row r="97" spans="2:6">
      <c r="B97" t="s">
        <v>219</v>
      </c>
      <c r="C97" s="6">
        <v>0.1348</v>
      </c>
      <c r="D97" s="6">
        <v>2.4199999999999999E-2</v>
      </c>
      <c r="E97" s="6">
        <v>2.7400000000000001E-2</v>
      </c>
      <c r="F97" s="6">
        <v>3.3599999999999998E-2</v>
      </c>
    </row>
    <row r="98" spans="2:6">
      <c r="B98" t="s">
        <v>252</v>
      </c>
      <c r="C98" s="6">
        <v>8.9999999999999993E-3</v>
      </c>
      <c r="D98" s="6">
        <v>9.4000000000000004E-3</v>
      </c>
      <c r="E98" s="6">
        <v>1.17E-2</v>
      </c>
      <c r="F98" s="6">
        <v>8.2000000000000007E-3</v>
      </c>
    </row>
    <row r="99" spans="2:6">
      <c r="B99" t="s">
        <v>12</v>
      </c>
      <c r="C99" s="6">
        <v>5.33E-2</v>
      </c>
      <c r="D99" s="6">
        <v>4.65E-2</v>
      </c>
      <c r="E99" s="6">
        <v>0.1236</v>
      </c>
      <c r="F99" s="6">
        <v>0.24490000000000001</v>
      </c>
    </row>
    <row r="100" spans="2:6">
      <c r="B100" t="s">
        <v>415</v>
      </c>
      <c r="C100" s="6">
        <v>0.1234</v>
      </c>
      <c r="D100" s="6">
        <v>9.0300000000000005E-2</v>
      </c>
      <c r="E100" s="6">
        <v>0.1037</v>
      </c>
      <c r="F100" s="6">
        <v>1.77E-2</v>
      </c>
    </row>
    <row r="101" spans="2:6">
      <c r="B101" t="s">
        <v>163</v>
      </c>
      <c r="C101" s="6">
        <v>5.8900000000000001E-2</v>
      </c>
      <c r="D101" s="6">
        <v>3.2099999999999997E-2</v>
      </c>
      <c r="E101" s="6">
        <v>3.4000000000000002E-2</v>
      </c>
      <c r="F101" s="6">
        <v>2.47E-2</v>
      </c>
    </row>
    <row r="102" spans="2:6">
      <c r="B102" t="s">
        <v>261</v>
      </c>
      <c r="C102" s="6">
        <v>9.0499999999999997E-2</v>
      </c>
      <c r="D102" s="6">
        <v>4.9299999999999997E-2</v>
      </c>
      <c r="E102" s="6">
        <v>6.4899999999999999E-2</v>
      </c>
      <c r="F102" s="6">
        <v>5.2400000000000002E-2</v>
      </c>
    </row>
    <row r="103" spans="2:6">
      <c r="B103" t="s">
        <v>412</v>
      </c>
      <c r="C103" s="6">
        <v>6.54E-2</v>
      </c>
      <c r="D103" s="6">
        <v>3.2599999999999997E-2</v>
      </c>
      <c r="E103" s="6">
        <v>2.4799999999999999E-2</v>
      </c>
      <c r="F103" s="6">
        <v>1.0800000000000001E-2</v>
      </c>
    </row>
    <row r="104" spans="2:6">
      <c r="B104" t="s">
        <v>206</v>
      </c>
      <c r="C104" s="6">
        <v>0.47889999999999999</v>
      </c>
      <c r="D104" s="6">
        <v>0.22989999999999999</v>
      </c>
      <c r="E104" s="6">
        <v>5.6599999999999998E-2</v>
      </c>
      <c r="F104" s="6">
        <v>3.0000000000000001E-3</v>
      </c>
    </row>
    <row r="105" spans="2:6">
      <c r="B105" t="s">
        <v>293</v>
      </c>
      <c r="C105" s="6">
        <v>6.4000000000000003E-3</v>
      </c>
      <c r="D105" s="6">
        <v>2.9999999999999997E-4</v>
      </c>
      <c r="E105" s="6">
        <v>2.5999999999999999E-3</v>
      </c>
      <c r="F105" s="6">
        <v>9.1999999999999998E-3</v>
      </c>
    </row>
    <row r="106" spans="2:6">
      <c r="B106" t="s">
        <v>324</v>
      </c>
      <c r="C106" s="6">
        <v>5.0099999999999999E-2</v>
      </c>
      <c r="D106" s="6">
        <v>0.14510000000000001</v>
      </c>
      <c r="E106" s="6">
        <v>0.1221</v>
      </c>
      <c r="F106" s="6">
        <v>0.14480000000000001</v>
      </c>
    </row>
    <row r="107" spans="2:6">
      <c r="B107" t="s">
        <v>422</v>
      </c>
      <c r="C107" s="6">
        <v>6.3E-3</v>
      </c>
      <c r="D107" s="6">
        <v>6.1000000000000004E-3</v>
      </c>
      <c r="E107" s="6">
        <v>4.5600000000000002E-2</v>
      </c>
      <c r="F107" s="6">
        <v>1.5699999999999999E-2</v>
      </c>
    </row>
    <row r="108" spans="2:6">
      <c r="B108" t="s">
        <v>386</v>
      </c>
      <c r="C108" s="6">
        <v>7.7000000000000002E-3</v>
      </c>
      <c r="D108" s="6">
        <v>4.1000000000000003E-3</v>
      </c>
      <c r="E108" s="6">
        <v>2.9999999999999997E-4</v>
      </c>
      <c r="F108" s="6">
        <v>5.9999999999999995E-4</v>
      </c>
    </row>
    <row r="109" spans="2:6">
      <c r="B109" t="s">
        <v>151</v>
      </c>
      <c r="C109" s="6">
        <v>1.23E-2</v>
      </c>
      <c r="D109" s="6">
        <v>1.9400000000000001E-2</v>
      </c>
      <c r="E109" s="6">
        <v>3.1699999999999999E-2</v>
      </c>
      <c r="F109" s="6">
        <v>1.54E-2</v>
      </c>
    </row>
    <row r="110" spans="2:6">
      <c r="B110" t="s">
        <v>17</v>
      </c>
      <c r="C110" s="6">
        <v>2.1399999999999999E-2</v>
      </c>
      <c r="D110" s="6">
        <v>2.52E-2</v>
      </c>
      <c r="E110" s="6">
        <v>1.44E-2</v>
      </c>
      <c r="F110" s="6">
        <v>6.8999999999999999E-3</v>
      </c>
    </row>
    <row r="111" spans="2:6">
      <c r="B111" t="s">
        <v>295</v>
      </c>
      <c r="C111" s="6">
        <v>6.7799999999999999E-2</v>
      </c>
      <c r="D111" s="6">
        <v>1.5299999999999999E-2</v>
      </c>
      <c r="E111" s="6">
        <v>0.13339999999999999</v>
      </c>
      <c r="F111" s="6">
        <v>2.2000000000000001E-3</v>
      </c>
    </row>
    <row r="112" spans="2:6">
      <c r="B112" t="s">
        <v>182</v>
      </c>
      <c r="C112" s="6">
        <v>7.6499999999999999E-2</v>
      </c>
      <c r="D112" s="6">
        <v>4.24E-2</v>
      </c>
      <c r="E112" s="6">
        <v>4.8800000000000003E-2</v>
      </c>
      <c r="F112" s="6">
        <v>3.3000000000000002E-2</v>
      </c>
    </row>
    <row r="113" spans="2:6">
      <c r="B113" t="s">
        <v>815</v>
      </c>
      <c r="C113" s="6">
        <v>1.55E-2</v>
      </c>
      <c r="D113" s="6">
        <v>1.54E-2</v>
      </c>
      <c r="E113" s="6">
        <v>2.93E-2</v>
      </c>
      <c r="F113" s="6">
        <v>4.4999999999999998E-2</v>
      </c>
    </row>
    <row r="114" spans="2:6">
      <c r="B114" t="s">
        <v>201</v>
      </c>
      <c r="C114" s="6">
        <v>3.4599999999999999E-2</v>
      </c>
      <c r="D114" s="6">
        <v>5.7000000000000002E-2</v>
      </c>
      <c r="E114" s="6">
        <v>4.7999999999999996E-3</v>
      </c>
      <c r="F114" s="6">
        <v>6.6E-3</v>
      </c>
    </row>
    <row r="115" spans="2:6">
      <c r="B115" t="s">
        <v>482</v>
      </c>
      <c r="C115" s="6">
        <v>9.4999999999999998E-3</v>
      </c>
      <c r="D115" s="6">
        <v>2.35E-2</v>
      </c>
      <c r="E115" s="6">
        <v>4.7999999999999996E-3</v>
      </c>
      <c r="F115" s="6">
        <v>1.41E-2</v>
      </c>
    </row>
    <row r="116" spans="2:6">
      <c r="B116" t="s">
        <v>419</v>
      </c>
      <c r="C116" s="6">
        <v>1.3899999999999999E-2</v>
      </c>
      <c r="D116" s="6">
        <v>2.7099999999999999E-2</v>
      </c>
      <c r="E116" s="6">
        <v>1.54E-2</v>
      </c>
      <c r="F116" s="6">
        <v>3.61E-2</v>
      </c>
    </row>
    <row r="117" spans="2:6">
      <c r="B117" t="s">
        <v>13</v>
      </c>
      <c r="C117" s="6">
        <v>1.21E-2</v>
      </c>
      <c r="D117" s="6">
        <v>1.4500000000000001E-2</v>
      </c>
      <c r="E117" s="6">
        <v>1.5699999999999999E-2</v>
      </c>
      <c r="F117" s="6">
        <v>2.18E-2</v>
      </c>
    </row>
    <row r="118" spans="2:6">
      <c r="B118" t="s">
        <v>303</v>
      </c>
      <c r="C118" s="6">
        <v>1.0699999999999999E-2</v>
      </c>
      <c r="D118" s="6">
        <v>7.2700000000000001E-2</v>
      </c>
      <c r="E118" s="6">
        <v>1.38E-2</v>
      </c>
      <c r="F118" s="6">
        <v>7.1199999999999999E-2</v>
      </c>
    </row>
    <row r="119" spans="2:6">
      <c r="B119" t="s">
        <v>305</v>
      </c>
      <c r="C119" s="6">
        <v>6.4100000000000004E-2</v>
      </c>
      <c r="D119" s="6">
        <v>7.1999999999999998E-3</v>
      </c>
      <c r="E119" s="6">
        <v>1.5E-3</v>
      </c>
      <c r="F119" s="6">
        <v>7.0000000000000001E-3</v>
      </c>
    </row>
    <row r="120" spans="2:6">
      <c r="B120" t="s">
        <v>421</v>
      </c>
      <c r="C120" s="6">
        <v>2.5999999999999999E-3</v>
      </c>
      <c r="D120" s="6">
        <v>6.1100000000000002E-2</v>
      </c>
      <c r="E120" s="6">
        <v>0.22620000000000001</v>
      </c>
      <c r="F120" s="6">
        <v>3.3000000000000002E-2</v>
      </c>
    </row>
    <row r="121" spans="2:6">
      <c r="B121" t="s">
        <v>16</v>
      </c>
      <c r="C121" s="6">
        <v>6.9999999999999999E-4</v>
      </c>
      <c r="D121" s="6">
        <v>2.0000000000000001E-4</v>
      </c>
      <c r="E121" s="6">
        <v>0</v>
      </c>
      <c r="F121" s="6">
        <v>0</v>
      </c>
    </row>
    <row r="122" spans="2:6">
      <c r="B122" t="s">
        <v>142</v>
      </c>
      <c r="C122" s="6">
        <v>8.0500000000000002E-2</v>
      </c>
      <c r="D122" s="6">
        <v>7.3000000000000001E-3</v>
      </c>
      <c r="E122" s="6">
        <v>6.3E-3</v>
      </c>
      <c r="F122" s="6">
        <v>1E-4</v>
      </c>
    </row>
    <row r="123" spans="2:6">
      <c r="B123" t="s">
        <v>202</v>
      </c>
      <c r="C123" s="6">
        <v>0.1648</v>
      </c>
      <c r="D123" s="6">
        <v>3.9399999999999998E-2</v>
      </c>
      <c r="E123" s="6">
        <v>0.1011</v>
      </c>
      <c r="F123" s="6">
        <v>7.46E-2</v>
      </c>
    </row>
    <row r="124" spans="2:6">
      <c r="B124" t="s">
        <v>279</v>
      </c>
      <c r="C124" s="6">
        <v>3.3700000000000001E-2</v>
      </c>
      <c r="D124" s="6">
        <v>4.0800000000000003E-2</v>
      </c>
      <c r="E124" s="6">
        <v>3.8300000000000001E-2</v>
      </c>
      <c r="F124" s="6">
        <v>4.1599999999999998E-2</v>
      </c>
    </row>
    <row r="125" spans="2:6">
      <c r="B125" t="s">
        <v>835</v>
      </c>
      <c r="C125" s="6">
        <v>5.5399999999999998E-2</v>
      </c>
      <c r="D125" s="6">
        <v>6.2199999999999998E-2</v>
      </c>
      <c r="E125" s="6">
        <v>1.9699999999999999E-2</v>
      </c>
      <c r="F125" s="6">
        <v>2.64E-2</v>
      </c>
    </row>
    <row r="126" spans="2:6">
      <c r="B126" t="s">
        <v>143</v>
      </c>
      <c r="C126" s="6">
        <v>5.8999999999999997E-2</v>
      </c>
      <c r="D126" s="6">
        <v>1.52E-2</v>
      </c>
      <c r="E126" s="6">
        <v>3.3999999999999998E-3</v>
      </c>
      <c r="F126" s="6">
        <v>2E-3</v>
      </c>
    </row>
    <row r="127" spans="2:6">
      <c r="B127" t="s">
        <v>423</v>
      </c>
      <c r="C127" s="6">
        <v>3.7499999999999999E-2</v>
      </c>
      <c r="D127" s="6">
        <v>8.1900000000000001E-2</v>
      </c>
      <c r="E127" s="6">
        <v>3.3399999999999999E-2</v>
      </c>
      <c r="F127" s="6">
        <v>3.0599999999999999E-2</v>
      </c>
    </row>
    <row r="128" spans="2:6">
      <c r="B128" t="s">
        <v>832</v>
      </c>
      <c r="C128" s="6">
        <v>2.0999999999999999E-3</v>
      </c>
      <c r="D128" s="6">
        <v>8.0000000000000004E-4</v>
      </c>
      <c r="E128" s="6">
        <v>1E-3</v>
      </c>
      <c r="F128" s="6">
        <v>2E-3</v>
      </c>
    </row>
    <row r="129" spans="2:6">
      <c r="B129" t="s">
        <v>167</v>
      </c>
      <c r="C129" s="6">
        <v>2.0000000000000001E-4</v>
      </c>
      <c r="D129" s="6">
        <v>0</v>
      </c>
      <c r="E129" s="6">
        <v>8.0000000000000004E-4</v>
      </c>
      <c r="F129" s="6">
        <v>5.0000000000000001E-4</v>
      </c>
    </row>
    <row r="130" spans="2:6">
      <c r="B130" t="s">
        <v>76</v>
      </c>
      <c r="C130" s="6">
        <v>5.2400000000000002E-2</v>
      </c>
      <c r="D130" s="6">
        <v>2.6100000000000002E-2</v>
      </c>
      <c r="E130" s="6">
        <v>2.24E-2</v>
      </c>
      <c r="F130" s="6">
        <v>2.9100000000000001E-2</v>
      </c>
    </row>
    <row r="131" spans="2:6">
      <c r="B131" t="s">
        <v>79</v>
      </c>
      <c r="C131" s="6">
        <v>4.4200000000000003E-2</v>
      </c>
      <c r="D131" s="6">
        <v>2.1600000000000001E-2</v>
      </c>
      <c r="E131" s="6">
        <v>2.0500000000000001E-2</v>
      </c>
      <c r="F131" s="6">
        <v>9.1000000000000004E-3</v>
      </c>
    </row>
    <row r="132" spans="2:6">
      <c r="B132" t="s">
        <v>484</v>
      </c>
      <c r="C132" s="6">
        <v>2.3900000000000001E-2</v>
      </c>
      <c r="D132" s="6">
        <v>6.5000000000000002E-2</v>
      </c>
      <c r="E132" s="6">
        <v>7.9799999999999996E-2</v>
      </c>
      <c r="F132" s="6">
        <v>7.3999999999999996E-2</v>
      </c>
    </row>
    <row r="133" spans="2:6">
      <c r="B133" t="s">
        <v>120</v>
      </c>
      <c r="C133" s="6">
        <v>2.63E-2</v>
      </c>
      <c r="D133" s="6">
        <v>1.8499999999999999E-2</v>
      </c>
      <c r="E133" s="6">
        <v>2.93E-2</v>
      </c>
      <c r="F133" s="6">
        <v>1.7000000000000001E-2</v>
      </c>
    </row>
    <row r="134" spans="2:6">
      <c r="B134" t="s">
        <v>254</v>
      </c>
      <c r="C134" s="6">
        <v>1.9900000000000001E-2</v>
      </c>
      <c r="D134" s="6">
        <v>4.65E-2</v>
      </c>
      <c r="E134" s="6">
        <v>7.7700000000000005E-2</v>
      </c>
      <c r="F134" s="6">
        <v>4.87E-2</v>
      </c>
    </row>
    <row r="135" spans="2:6">
      <c r="B135" t="s">
        <v>497</v>
      </c>
      <c r="C135" s="6">
        <v>8.3199999999999996E-2</v>
      </c>
      <c r="D135" s="6">
        <v>9.35E-2</v>
      </c>
      <c r="E135" s="6">
        <v>0.249</v>
      </c>
      <c r="F135" s="6">
        <v>0.13519999999999999</v>
      </c>
    </row>
    <row r="136" spans="2:6">
      <c r="B136" t="s">
        <v>811</v>
      </c>
      <c r="C136" s="6">
        <v>9.06E-2</v>
      </c>
      <c r="D136" s="6">
        <v>5.7700000000000001E-2</v>
      </c>
      <c r="E136" s="6">
        <v>0.1118</v>
      </c>
      <c r="F136" s="6">
        <v>9.4100000000000003E-2</v>
      </c>
    </row>
    <row r="137" spans="2:6">
      <c r="B137" t="s">
        <v>383</v>
      </c>
      <c r="C137" s="6">
        <v>1.6899999999999998E-2</v>
      </c>
      <c r="D137" s="6">
        <v>3.5200000000000002E-2</v>
      </c>
      <c r="E137" s="6">
        <v>1.5900000000000001E-2</v>
      </c>
      <c r="F137" s="6">
        <v>5.1000000000000004E-3</v>
      </c>
    </row>
    <row r="138" spans="2:6">
      <c r="B138" t="s">
        <v>114</v>
      </c>
      <c r="C138" s="6">
        <v>3.3399999999999999E-2</v>
      </c>
      <c r="D138" s="6">
        <v>1.23E-2</v>
      </c>
      <c r="E138" s="6">
        <v>1.1900000000000001E-2</v>
      </c>
      <c r="F138" s="6">
        <v>4.8500000000000001E-2</v>
      </c>
    </row>
    <row r="139" spans="2:6">
      <c r="B139" t="s">
        <v>387</v>
      </c>
      <c r="C139" s="6">
        <v>5.1000000000000004E-3</v>
      </c>
      <c r="D139" s="6">
        <v>2.8500000000000001E-2</v>
      </c>
      <c r="E139" s="6">
        <v>3.4099999999999998E-2</v>
      </c>
      <c r="F139" s="6">
        <v>3.04E-2</v>
      </c>
    </row>
    <row r="140" spans="2:6">
      <c r="B140" t="s">
        <v>138</v>
      </c>
      <c r="C140" s="6">
        <v>3.9899999999999998E-2</v>
      </c>
      <c r="D140" s="6">
        <v>0.12920000000000001</v>
      </c>
      <c r="E140" s="6">
        <v>7.4200000000000002E-2</v>
      </c>
      <c r="F140" s="6">
        <v>2.0899999999999998E-2</v>
      </c>
    </row>
    <row r="141" spans="2:6">
      <c r="B141" t="s">
        <v>413</v>
      </c>
      <c r="C141" s="6">
        <v>7.4200000000000002E-2</v>
      </c>
      <c r="D141" s="6">
        <v>7.4800000000000005E-2</v>
      </c>
      <c r="E141" s="6">
        <v>8.1199999999999994E-2</v>
      </c>
      <c r="F141" s="6">
        <v>6.7000000000000004E-2</v>
      </c>
    </row>
    <row r="142" spans="2:6">
      <c r="B142" t="s">
        <v>399</v>
      </c>
      <c r="C142" s="6">
        <v>4.0000000000000002E-4</v>
      </c>
      <c r="D142" s="6">
        <v>4.0000000000000002E-4</v>
      </c>
      <c r="E142" s="6">
        <v>1E-4</v>
      </c>
      <c r="F142" s="6">
        <v>5.0000000000000001E-4</v>
      </c>
    </row>
    <row r="143" spans="2:6">
      <c r="B143" t="s">
        <v>64</v>
      </c>
      <c r="C143" s="6">
        <v>3.0800000000000001E-2</v>
      </c>
      <c r="D143" s="6">
        <v>3.1300000000000001E-2</v>
      </c>
      <c r="E143" s="6">
        <v>5.0700000000000002E-2</v>
      </c>
      <c r="F143" s="6">
        <v>3.6299999999999999E-2</v>
      </c>
    </row>
    <row r="144" spans="2:6">
      <c r="B144" t="s">
        <v>301</v>
      </c>
      <c r="C144" s="6">
        <v>0.42399999999999999</v>
      </c>
      <c r="D144" s="6">
        <v>0.3407</v>
      </c>
      <c r="E144" s="6">
        <v>0.2974</v>
      </c>
      <c r="F144" s="6">
        <v>0.21829999999999999</v>
      </c>
    </row>
    <row r="145" spans="2:6">
      <c r="B145" t="s">
        <v>223</v>
      </c>
      <c r="C145" s="6">
        <v>7.6399999999999996E-2</v>
      </c>
      <c r="D145" s="6">
        <v>1.44E-2</v>
      </c>
      <c r="E145" s="6">
        <v>0.16719999999999999</v>
      </c>
      <c r="F145" s="6">
        <v>0.16719999999999999</v>
      </c>
    </row>
    <row r="146" spans="2:6">
      <c r="B146" t="s">
        <v>173</v>
      </c>
      <c r="C146" s="6">
        <v>8.0000000000000004E-4</v>
      </c>
      <c r="D146" s="6">
        <v>1E-4</v>
      </c>
      <c r="E146" s="6">
        <v>1E-4</v>
      </c>
      <c r="F146" s="6">
        <v>4.0000000000000002E-4</v>
      </c>
    </row>
    <row r="147" spans="2:6">
      <c r="B147" t="s">
        <v>130</v>
      </c>
      <c r="C147" s="6">
        <v>3.6900000000000002E-2</v>
      </c>
      <c r="D147" s="6">
        <v>5.2400000000000002E-2</v>
      </c>
      <c r="E147" s="6">
        <v>4.58E-2</v>
      </c>
      <c r="F147" s="6">
        <v>6.7500000000000004E-2</v>
      </c>
    </row>
    <row r="148" spans="2:6">
      <c r="B148" t="s">
        <v>176</v>
      </c>
      <c r="C148" s="6">
        <v>5.11E-2</v>
      </c>
      <c r="D148" s="6">
        <v>4.6399999999999997E-2</v>
      </c>
      <c r="E148" s="6">
        <v>5.6000000000000001E-2</v>
      </c>
      <c r="F148" s="6">
        <v>4.4499999999999998E-2</v>
      </c>
    </row>
    <row r="149" spans="2:6">
      <c r="B149" t="s">
        <v>1</v>
      </c>
      <c r="C149" s="6">
        <v>9.3600000000000003E-2</v>
      </c>
      <c r="D149" s="6">
        <v>3.6499999999999998E-2</v>
      </c>
      <c r="E149" s="6">
        <v>2.0000000000000001E-4</v>
      </c>
      <c r="F149" s="6">
        <v>1.5100000000000001E-2</v>
      </c>
    </row>
    <row r="150" spans="2:6">
      <c r="B150" t="s">
        <v>122</v>
      </c>
      <c r="C150" s="6">
        <v>1.54E-2</v>
      </c>
      <c r="D150" s="6">
        <v>2.3900000000000001E-2</v>
      </c>
      <c r="E150" s="6">
        <v>2.47E-2</v>
      </c>
      <c r="F150" s="6">
        <v>1.9199999999999998E-2</v>
      </c>
    </row>
    <row r="151" spans="2:6">
      <c r="B151" t="s">
        <v>320</v>
      </c>
      <c r="C151" s="6">
        <v>5.1400000000000001E-2</v>
      </c>
      <c r="D151" s="6">
        <v>6.6799999999999998E-2</v>
      </c>
      <c r="E151" s="6">
        <v>3.32E-2</v>
      </c>
      <c r="F151" s="6">
        <v>5.8000000000000003E-2</v>
      </c>
    </row>
    <row r="152" spans="2:6">
      <c r="B152" t="s">
        <v>255</v>
      </c>
      <c r="C152" s="6">
        <v>7.1000000000000004E-3</v>
      </c>
      <c r="D152" s="6">
        <v>5.7000000000000002E-3</v>
      </c>
      <c r="E152" s="6">
        <v>4.8999999999999998E-3</v>
      </c>
      <c r="F152" s="6">
        <v>5.4000000000000003E-3</v>
      </c>
    </row>
    <row r="153" spans="2:6">
      <c r="B153" t="s">
        <v>37</v>
      </c>
      <c r="C153" s="6">
        <v>2.6100000000000002E-2</v>
      </c>
      <c r="D153" s="6">
        <v>2.6700000000000002E-2</v>
      </c>
      <c r="E153" s="6">
        <v>2.1899999999999999E-2</v>
      </c>
      <c r="F153" s="6">
        <v>1.9699999999999999E-2</v>
      </c>
    </row>
    <row r="154" spans="2:6">
      <c r="B154" t="s">
        <v>389</v>
      </c>
      <c r="C154" s="6">
        <v>1.67E-2</v>
      </c>
      <c r="D154" s="6">
        <v>4.0800000000000003E-2</v>
      </c>
      <c r="E154" s="6">
        <v>0.1144</v>
      </c>
      <c r="F154" s="6">
        <v>4.3099999999999999E-2</v>
      </c>
    </row>
    <row r="155" spans="2:6">
      <c r="B155" t="s">
        <v>271</v>
      </c>
      <c r="C155" s="6">
        <v>2.3599999999999999E-2</v>
      </c>
      <c r="D155" s="6">
        <v>2.4500000000000001E-2</v>
      </c>
      <c r="E155" s="6">
        <v>4.0599999999999997E-2</v>
      </c>
      <c r="F155" s="6">
        <v>4.7000000000000002E-3</v>
      </c>
    </row>
    <row r="156" spans="2:6">
      <c r="B156" t="s">
        <v>234</v>
      </c>
      <c r="C156" s="6">
        <v>1.9E-2</v>
      </c>
      <c r="D156" s="6">
        <v>0.1234</v>
      </c>
      <c r="E156" s="6">
        <v>0.1885</v>
      </c>
      <c r="F156" s="6">
        <v>0.17730000000000001</v>
      </c>
    </row>
    <row r="157" spans="2:6">
      <c r="B157" t="s">
        <v>272</v>
      </c>
      <c r="C157" s="6">
        <v>1.9900000000000001E-2</v>
      </c>
      <c r="D157" s="6">
        <v>4.9700000000000001E-2</v>
      </c>
      <c r="E157" s="6">
        <v>3.6600000000000001E-2</v>
      </c>
      <c r="F157" s="6">
        <v>4.4499999999999998E-2</v>
      </c>
    </row>
    <row r="158" spans="2:6">
      <c r="B158" t="s">
        <v>159</v>
      </c>
      <c r="C158" s="6">
        <v>0.10539999999999999</v>
      </c>
      <c r="D158" s="6">
        <v>3.2099999999999997E-2</v>
      </c>
      <c r="E158" s="6">
        <v>3.9199999999999999E-2</v>
      </c>
      <c r="F158" s="6">
        <v>5.9900000000000002E-2</v>
      </c>
    </row>
    <row r="159" spans="2:6">
      <c r="B159" t="s">
        <v>34</v>
      </c>
      <c r="C159" s="6">
        <v>5.4999999999999997E-3</v>
      </c>
      <c r="D159" s="6">
        <v>1.5299999999999999E-2</v>
      </c>
      <c r="E159" s="6">
        <v>4.5499999999999999E-2</v>
      </c>
      <c r="F159" s="6">
        <v>5.0000000000000001E-3</v>
      </c>
    </row>
    <row r="160" spans="2:6">
      <c r="B160" t="s">
        <v>214</v>
      </c>
      <c r="C160" s="6">
        <v>3.9E-2</v>
      </c>
      <c r="D160" s="6">
        <v>1.7100000000000001E-2</v>
      </c>
      <c r="E160" s="6">
        <v>3.0999999999999999E-3</v>
      </c>
      <c r="F160" s="6">
        <v>1.29E-2</v>
      </c>
    </row>
    <row r="161" spans="2:6">
      <c r="B161" t="s">
        <v>5</v>
      </c>
      <c r="C161" s="6">
        <v>1.0999999999999999E-2</v>
      </c>
      <c r="D161" s="6">
        <v>2.4E-2</v>
      </c>
      <c r="E161" s="6">
        <v>4.1599999999999998E-2</v>
      </c>
      <c r="F161" s="6">
        <v>4.4600000000000001E-2</v>
      </c>
    </row>
    <row r="162" spans="2:6">
      <c r="B162" t="s">
        <v>322</v>
      </c>
      <c r="C162" s="6">
        <v>2.3599999999999999E-2</v>
      </c>
      <c r="D162" s="6">
        <v>4.7500000000000001E-2</v>
      </c>
      <c r="E162" s="6">
        <v>2.58E-2</v>
      </c>
      <c r="F162" s="6">
        <v>1.43E-2</v>
      </c>
    </row>
    <row r="163" spans="2:6">
      <c r="B163" t="s">
        <v>388</v>
      </c>
      <c r="C163" s="6">
        <v>1E-4</v>
      </c>
      <c r="D163" s="6">
        <v>2.0000000000000001E-4</v>
      </c>
      <c r="E163" s="6">
        <v>4.0000000000000002E-4</v>
      </c>
      <c r="F163" s="6">
        <v>2.7000000000000001E-3</v>
      </c>
    </row>
    <row r="164" spans="2:6">
      <c r="B164" t="s">
        <v>115</v>
      </c>
      <c r="C164" s="6">
        <v>1.9599999999999999E-2</v>
      </c>
      <c r="D164" s="6">
        <v>5.1499999999999997E-2</v>
      </c>
      <c r="E164" s="6">
        <v>7.0300000000000001E-2</v>
      </c>
      <c r="F164" s="6">
        <v>5.7799999999999997E-2</v>
      </c>
    </row>
    <row r="165" spans="2:6">
      <c r="B165" t="s">
        <v>161</v>
      </c>
      <c r="C165" s="6">
        <v>3.15E-2</v>
      </c>
      <c r="D165" s="6">
        <v>2.6100000000000002E-2</v>
      </c>
      <c r="E165" s="6">
        <v>1.8200000000000001E-2</v>
      </c>
      <c r="F165" s="6">
        <v>3.6999999999999998E-2</v>
      </c>
    </row>
    <row r="166" spans="2:6">
      <c r="B166" t="s">
        <v>132</v>
      </c>
      <c r="C166" s="6">
        <v>1.17E-2</v>
      </c>
      <c r="D166" s="6">
        <v>2.2800000000000001E-2</v>
      </c>
      <c r="E166" s="6">
        <v>5.3600000000000002E-2</v>
      </c>
      <c r="F166" s="6">
        <v>1.9699999999999999E-2</v>
      </c>
    </row>
    <row r="167" spans="2:6">
      <c r="B167" t="s">
        <v>117</v>
      </c>
      <c r="C167" s="6">
        <v>3.2599999999999997E-2</v>
      </c>
      <c r="D167" s="6">
        <v>5.9900000000000002E-2</v>
      </c>
      <c r="E167" s="6">
        <v>0.10639999999999999</v>
      </c>
      <c r="F167" s="6">
        <v>5.5500000000000001E-2</v>
      </c>
    </row>
    <row r="168" spans="2:6">
      <c r="B168" t="s">
        <v>84</v>
      </c>
      <c r="C168" s="6">
        <v>3.5799999999999998E-2</v>
      </c>
      <c r="D168" s="6">
        <v>8.1100000000000005E-2</v>
      </c>
      <c r="E168" s="6">
        <v>0.08</v>
      </c>
      <c r="F168" s="6">
        <v>4.8300000000000003E-2</v>
      </c>
    </row>
    <row r="169" spans="2:6">
      <c r="B169" t="s">
        <v>288</v>
      </c>
      <c r="C169" s="6">
        <v>3.6200000000000003E-2</v>
      </c>
      <c r="D169" s="6">
        <v>3.2899999999999999E-2</v>
      </c>
      <c r="E169" s="6">
        <v>4.6399999999999997E-2</v>
      </c>
      <c r="F169" s="6">
        <v>6.4500000000000002E-2</v>
      </c>
    </row>
    <row r="170" spans="2:6">
      <c r="B170" t="s">
        <v>304</v>
      </c>
      <c r="C170" s="6">
        <v>0.15210000000000001</v>
      </c>
      <c r="D170" s="6">
        <v>0.16539999999999999</v>
      </c>
      <c r="E170" s="6">
        <v>0.1898</v>
      </c>
      <c r="F170" s="6">
        <v>0.13200000000000001</v>
      </c>
    </row>
    <row r="171" spans="2:6">
      <c r="B171" t="s">
        <v>411</v>
      </c>
      <c r="C171" s="6">
        <v>3.8999999999999998E-3</v>
      </c>
      <c r="D171" s="6">
        <v>2.3999999999999998E-3</v>
      </c>
      <c r="E171" s="6">
        <v>2.0999999999999999E-3</v>
      </c>
      <c r="F171" s="6">
        <v>8.0000000000000004E-4</v>
      </c>
    </row>
    <row r="172" spans="2:6">
      <c r="B172" t="s">
        <v>170</v>
      </c>
      <c r="C172" s="6">
        <v>1.41E-2</v>
      </c>
      <c r="D172" s="6">
        <v>1.1000000000000001E-3</v>
      </c>
      <c r="E172" s="6">
        <v>1E-3</v>
      </c>
      <c r="F172" s="6">
        <v>1.9900000000000001E-2</v>
      </c>
    </row>
    <row r="173" spans="2:6">
      <c r="B173" t="s">
        <v>225</v>
      </c>
      <c r="C173" s="6">
        <v>7.7499999999999999E-2</v>
      </c>
      <c r="D173" s="6">
        <v>1.09E-2</v>
      </c>
      <c r="E173" s="6">
        <v>7.3000000000000001E-3</v>
      </c>
      <c r="F173" s="6">
        <v>1.6899999999999998E-2</v>
      </c>
    </row>
    <row r="174" spans="2:6">
      <c r="B174" t="s">
        <v>195</v>
      </c>
      <c r="C174" s="6">
        <v>4.7500000000000001E-2</v>
      </c>
      <c r="D174" s="6">
        <v>2.6100000000000002E-2</v>
      </c>
      <c r="E174" s="6">
        <v>2.7199999999999998E-2</v>
      </c>
      <c r="F174" s="6">
        <v>4.7999999999999996E-3</v>
      </c>
    </row>
    <row r="175" spans="2:6">
      <c r="B175" t="s">
        <v>319</v>
      </c>
      <c r="C175" s="6">
        <v>7.51E-2</v>
      </c>
      <c r="D175" s="6">
        <v>1.2699999999999999E-2</v>
      </c>
      <c r="E175" s="6">
        <v>2.35E-2</v>
      </c>
      <c r="F175" s="6">
        <v>6.3E-2</v>
      </c>
    </row>
    <row r="176" spans="2:6">
      <c r="B176" t="s">
        <v>813</v>
      </c>
      <c r="C176" s="6">
        <v>0.13569999999999999</v>
      </c>
      <c r="D176" s="6">
        <v>0.1149</v>
      </c>
      <c r="E176" s="6">
        <v>0.1052</v>
      </c>
      <c r="F176" s="6">
        <v>0.1825</v>
      </c>
    </row>
    <row r="177" spans="2:6">
      <c r="B177" t="s">
        <v>148</v>
      </c>
      <c r="C177" s="6">
        <v>5.7999999999999996E-3</v>
      </c>
      <c r="D177" s="6">
        <v>6.4999999999999997E-3</v>
      </c>
      <c r="E177" s="6">
        <v>3.15E-2</v>
      </c>
      <c r="F177" s="6">
        <v>7.4700000000000003E-2</v>
      </c>
    </row>
    <row r="178" spans="2:6">
      <c r="B178" t="s">
        <v>124</v>
      </c>
      <c r="C178" s="6">
        <v>3.2099999999999997E-2</v>
      </c>
      <c r="D178" s="6">
        <v>1.78E-2</v>
      </c>
      <c r="E178" s="6">
        <v>2.8199999999999999E-2</v>
      </c>
      <c r="F178" s="6">
        <v>2.41E-2</v>
      </c>
    </row>
    <row r="179" spans="2:6">
      <c r="B179" t="s">
        <v>88</v>
      </c>
      <c r="C179" s="6">
        <v>6.08E-2</v>
      </c>
      <c r="D179" s="6">
        <v>0.1123</v>
      </c>
      <c r="E179" s="6">
        <v>7.5999999999999998E-2</v>
      </c>
      <c r="F179" s="6">
        <v>3.5799999999999998E-2</v>
      </c>
    </row>
    <row r="180" spans="2:6">
      <c r="B180" t="s">
        <v>297</v>
      </c>
      <c r="C180" s="6">
        <v>2.3300000000000001E-2</v>
      </c>
      <c r="D180" s="6">
        <v>1.1900000000000001E-2</v>
      </c>
      <c r="E180" s="6">
        <v>3.0499999999999999E-2</v>
      </c>
      <c r="F180" s="6">
        <v>2.53E-2</v>
      </c>
    </row>
    <row r="181" spans="2:6">
      <c r="B181" t="s">
        <v>475</v>
      </c>
      <c r="C181" s="6">
        <v>3.4299999999999997E-2</v>
      </c>
      <c r="D181" s="6">
        <v>1.83E-2</v>
      </c>
      <c r="E181" s="6">
        <v>0.04</v>
      </c>
      <c r="F181" s="6">
        <v>4.8099999999999997E-2</v>
      </c>
    </row>
    <row r="182" spans="2:6">
      <c r="B182" t="s">
        <v>377</v>
      </c>
      <c r="C182" s="6">
        <v>1.15E-2</v>
      </c>
      <c r="D182" s="6">
        <v>2.07E-2</v>
      </c>
      <c r="E182" s="6">
        <v>1.5E-3</v>
      </c>
      <c r="F182" s="6">
        <v>6.9999999999999999E-4</v>
      </c>
    </row>
    <row r="183" spans="2:6">
      <c r="B183" t="s">
        <v>818</v>
      </c>
      <c r="C183" s="6">
        <v>2.69E-2</v>
      </c>
      <c r="D183" s="6">
        <v>1.78E-2</v>
      </c>
      <c r="E183" s="6">
        <v>1.43E-2</v>
      </c>
      <c r="F183" s="6">
        <v>1.6000000000000001E-3</v>
      </c>
    </row>
    <row r="184" spans="2:6">
      <c r="B184" t="s">
        <v>213</v>
      </c>
      <c r="C184" s="6">
        <v>2.9999999999999997E-4</v>
      </c>
      <c r="D184" s="6">
        <v>5.1299999999999998E-2</v>
      </c>
      <c r="E184" s="6">
        <v>2.0000000000000001E-4</v>
      </c>
      <c r="F184" s="6">
        <v>1.1000000000000001E-3</v>
      </c>
    </row>
    <row r="185" spans="2:6">
      <c r="B185" t="s">
        <v>290</v>
      </c>
      <c r="C185" s="6">
        <v>0.18779999999999999</v>
      </c>
      <c r="D185" s="6">
        <v>6.7999999999999996E-3</v>
      </c>
      <c r="E185" s="6">
        <v>9.3299999999999994E-2</v>
      </c>
      <c r="F185" s="6">
        <v>0.14480000000000001</v>
      </c>
    </row>
    <row r="186" spans="2:6">
      <c r="B186" t="s">
        <v>123</v>
      </c>
      <c r="C186" s="6">
        <v>5.3E-3</v>
      </c>
      <c r="D186" s="6">
        <v>4.4000000000000003E-3</v>
      </c>
      <c r="E186" s="6">
        <v>4.3E-3</v>
      </c>
      <c r="F186" s="6">
        <v>3.3E-3</v>
      </c>
    </row>
    <row r="187" spans="2:6">
      <c r="B187" t="s">
        <v>50</v>
      </c>
      <c r="C187" s="6">
        <v>6.9800000000000001E-2</v>
      </c>
      <c r="D187" s="6">
        <v>2.9600000000000001E-2</v>
      </c>
      <c r="E187" s="6">
        <v>4.3E-3</v>
      </c>
      <c r="F187" s="6">
        <v>3.3999999999999998E-3</v>
      </c>
    </row>
    <row r="188" spans="2:6">
      <c r="B188" t="s">
        <v>198</v>
      </c>
      <c r="C188" s="6">
        <v>4.4999999999999997E-3</v>
      </c>
      <c r="D188" s="6">
        <v>1.5E-3</v>
      </c>
      <c r="E188" s="6">
        <v>4.4000000000000003E-3</v>
      </c>
      <c r="F188" s="6">
        <v>6.4999999999999997E-3</v>
      </c>
    </row>
    <row r="189" spans="2:6">
      <c r="B189" t="s">
        <v>70</v>
      </c>
      <c r="C189" s="6">
        <v>3.6799999999999999E-2</v>
      </c>
      <c r="D189" s="6">
        <v>4.7100000000000003E-2</v>
      </c>
      <c r="E189" s="6">
        <v>8.72E-2</v>
      </c>
      <c r="F189" s="6">
        <v>7.9699999999999993E-2</v>
      </c>
    </row>
    <row r="190" spans="2:6">
      <c r="B190" t="s">
        <v>112</v>
      </c>
      <c r="C190" s="6">
        <v>0.1057</v>
      </c>
      <c r="D190" s="6">
        <v>2.07E-2</v>
      </c>
      <c r="E190" s="6">
        <v>2.5700000000000001E-2</v>
      </c>
      <c r="F190" s="6">
        <v>1.8499999999999999E-2</v>
      </c>
    </row>
    <row r="191" spans="2:6">
      <c r="B191" t="s">
        <v>378</v>
      </c>
      <c r="C191" s="6">
        <v>2.4299999999999999E-2</v>
      </c>
      <c r="D191" s="6">
        <v>1.18E-2</v>
      </c>
      <c r="E191" s="6">
        <v>1.4200000000000001E-2</v>
      </c>
      <c r="F191" s="6">
        <v>2.2599999999999999E-2</v>
      </c>
    </row>
    <row r="192" spans="2:6">
      <c r="B192" t="s">
        <v>505</v>
      </c>
      <c r="C192" s="6">
        <v>3.5299999999999998E-2</v>
      </c>
      <c r="D192" s="6">
        <v>0.123</v>
      </c>
      <c r="E192" s="6">
        <v>9.9400000000000002E-2</v>
      </c>
      <c r="F192" s="6">
        <v>0.1196</v>
      </c>
    </row>
    <row r="193" spans="2:6">
      <c r="B193" t="s">
        <v>83</v>
      </c>
      <c r="C193" s="6">
        <v>4.3200000000000002E-2</v>
      </c>
      <c r="D193" s="6">
        <v>7.8399999999999997E-2</v>
      </c>
      <c r="E193" s="6">
        <v>0.10199999999999999</v>
      </c>
      <c r="F193" s="6">
        <v>0.12429999999999999</v>
      </c>
    </row>
    <row r="194" spans="2:6">
      <c r="B194" t="s">
        <v>80</v>
      </c>
      <c r="C194" s="6">
        <v>6.3E-3</v>
      </c>
      <c r="D194" s="6">
        <v>5.4999999999999997E-3</v>
      </c>
      <c r="E194" s="6">
        <v>2.7000000000000001E-3</v>
      </c>
      <c r="F194" s="6">
        <v>3.3E-3</v>
      </c>
    </row>
    <row r="195" spans="2:6">
      <c r="B195" t="s">
        <v>164</v>
      </c>
      <c r="C195" s="6">
        <v>3.2000000000000001E-2</v>
      </c>
      <c r="D195" s="6">
        <v>3.6499999999999998E-2</v>
      </c>
      <c r="E195" s="6">
        <v>3.7600000000000001E-2</v>
      </c>
      <c r="F195" s="6">
        <v>8.5599999999999996E-2</v>
      </c>
    </row>
    <row r="196" spans="2:6">
      <c r="B196" t="s">
        <v>286</v>
      </c>
      <c r="C196" s="6">
        <v>2.81E-2</v>
      </c>
      <c r="D196" s="6">
        <v>3.6400000000000002E-2</v>
      </c>
      <c r="E196" s="6">
        <v>3.6400000000000002E-2</v>
      </c>
      <c r="F196" s="6">
        <v>2.9700000000000001E-2</v>
      </c>
    </row>
    <row r="197" spans="2:6">
      <c r="B197" t="s">
        <v>166</v>
      </c>
      <c r="C197" s="6">
        <v>1.5E-3</v>
      </c>
      <c r="D197" s="6">
        <v>4.7999999999999996E-3</v>
      </c>
      <c r="E197" s="6">
        <v>2.3E-3</v>
      </c>
      <c r="F197" s="6">
        <v>2.8999999999999998E-3</v>
      </c>
    </row>
    <row r="198" spans="2:6">
      <c r="B198" t="s">
        <v>357</v>
      </c>
      <c r="C198" s="6">
        <v>9.4999999999999998E-3</v>
      </c>
      <c r="D198" s="6">
        <v>3.27E-2</v>
      </c>
      <c r="E198" s="6">
        <v>2.4799999999999999E-2</v>
      </c>
      <c r="F198" s="6">
        <v>4.0300000000000002E-2</v>
      </c>
    </row>
    <row r="199" spans="2:6">
      <c r="B199" t="s">
        <v>499</v>
      </c>
      <c r="C199" s="6">
        <v>1E-4</v>
      </c>
      <c r="D199" s="6">
        <v>2.9999999999999997E-4</v>
      </c>
      <c r="E199" s="6">
        <v>9.0999999999999998E-2</v>
      </c>
      <c r="F199" s="6">
        <v>8.1799999999999998E-2</v>
      </c>
    </row>
    <row r="200" spans="2:6">
      <c r="B200" t="s">
        <v>266</v>
      </c>
      <c r="C200" s="6">
        <v>2.35E-2</v>
      </c>
      <c r="D200" s="6">
        <v>3.8899999999999997E-2</v>
      </c>
      <c r="E200" s="6">
        <v>2.41E-2</v>
      </c>
      <c r="F200" s="6">
        <v>7.7000000000000002E-3</v>
      </c>
    </row>
    <row r="201" spans="2:6">
      <c r="B201" t="s">
        <v>156</v>
      </c>
      <c r="C201" s="6">
        <v>8.5000000000000006E-3</v>
      </c>
      <c r="D201" s="6">
        <v>2.5999999999999999E-3</v>
      </c>
      <c r="E201" s="6">
        <v>1.9599999999999999E-2</v>
      </c>
      <c r="F201" s="6">
        <v>2.24E-2</v>
      </c>
    </row>
    <row r="202" spans="2:6">
      <c r="B202" t="s">
        <v>82</v>
      </c>
      <c r="C202" s="6">
        <v>7.1900000000000006E-2</v>
      </c>
      <c r="D202" s="6">
        <v>7.3099999999999998E-2</v>
      </c>
      <c r="E202" s="6">
        <v>7.5200000000000003E-2</v>
      </c>
      <c r="F202" s="6">
        <v>9.0300000000000005E-2</v>
      </c>
    </row>
    <row r="203" spans="2:6">
      <c r="B203" t="s">
        <v>487</v>
      </c>
      <c r="C203" s="6">
        <v>0.20730000000000001</v>
      </c>
      <c r="D203" s="6">
        <v>0.21</v>
      </c>
      <c r="E203" s="6">
        <v>0.13159999999999999</v>
      </c>
      <c r="F203" s="6">
        <v>0.1898</v>
      </c>
    </row>
    <row r="204" spans="2:6">
      <c r="B204" t="s">
        <v>78</v>
      </c>
      <c r="C204" s="6">
        <v>2.3999999999999998E-3</v>
      </c>
      <c r="D204" s="6">
        <v>6.4000000000000003E-3</v>
      </c>
      <c r="E204" s="6">
        <v>4.7999999999999996E-3</v>
      </c>
      <c r="F204" s="6">
        <v>0</v>
      </c>
    </row>
    <row r="205" spans="2:6">
      <c r="B205" t="s">
        <v>203</v>
      </c>
      <c r="C205" s="6">
        <v>1.2200000000000001E-2</v>
      </c>
      <c r="D205" s="6">
        <v>5.57E-2</v>
      </c>
      <c r="E205" s="6">
        <v>7.8E-2</v>
      </c>
      <c r="F205" s="6">
        <v>7.4800000000000005E-2</v>
      </c>
    </row>
    <row r="206" spans="2:6">
      <c r="B206" t="s">
        <v>197</v>
      </c>
      <c r="C206" s="6">
        <v>4.1000000000000002E-2</v>
      </c>
      <c r="D206" s="6">
        <v>2.3599999999999999E-2</v>
      </c>
      <c r="E206" s="6">
        <v>6.1000000000000004E-3</v>
      </c>
      <c r="F206" s="6">
        <v>3.8E-3</v>
      </c>
    </row>
    <row r="207" spans="2:6">
      <c r="B207" t="s">
        <v>87</v>
      </c>
      <c r="C207" s="6">
        <v>0.45519999999999999</v>
      </c>
      <c r="D207" s="6">
        <v>9.4999999999999998E-3</v>
      </c>
      <c r="E207" s="6">
        <v>2.3999999999999998E-3</v>
      </c>
      <c r="F207" s="6">
        <v>2.0000000000000001E-4</v>
      </c>
    </row>
    <row r="208" spans="2:6">
      <c r="B208" t="s">
        <v>73</v>
      </c>
      <c r="C208" s="6">
        <v>9.1999999999999998E-2</v>
      </c>
      <c r="D208" s="6">
        <v>0.1404</v>
      </c>
      <c r="E208" s="6">
        <v>0.1414</v>
      </c>
      <c r="F208" s="6">
        <v>5.2200000000000003E-2</v>
      </c>
    </row>
    <row r="209" spans="2:6">
      <c r="B209" t="s">
        <v>474</v>
      </c>
      <c r="C209" s="6">
        <v>1.8599999999999998E-2</v>
      </c>
      <c r="D209" s="6">
        <v>2.1899999999999999E-2</v>
      </c>
      <c r="E209" s="6">
        <v>2.7699999999999999E-2</v>
      </c>
      <c r="F209" s="6">
        <v>2.53E-2</v>
      </c>
    </row>
    <row r="210" spans="2:6">
      <c r="B210" t="s">
        <v>15</v>
      </c>
      <c r="C210" s="6">
        <v>8.3500000000000005E-2</v>
      </c>
      <c r="D210" s="6">
        <v>3.3000000000000002E-2</v>
      </c>
      <c r="E210" s="6">
        <v>8.3000000000000004E-2</v>
      </c>
      <c r="F210" s="6">
        <v>1.8700000000000001E-2</v>
      </c>
    </row>
    <row r="211" spans="2:6">
      <c r="B211" t="s">
        <v>44</v>
      </c>
      <c r="C211" s="6">
        <v>3.3999999999999998E-3</v>
      </c>
      <c r="D211" s="6">
        <v>1E-3</v>
      </c>
      <c r="E211" s="6">
        <v>1.1000000000000001E-3</v>
      </c>
      <c r="F211" s="6">
        <v>7.4000000000000003E-3</v>
      </c>
    </row>
    <row r="212" spans="2:6">
      <c r="B212" t="s">
        <v>313</v>
      </c>
      <c r="C212" s="6">
        <v>9.4999999999999998E-3</v>
      </c>
      <c r="D212" s="6">
        <v>4.0000000000000002E-4</v>
      </c>
      <c r="E212" s="6">
        <v>1E-4</v>
      </c>
      <c r="F212" s="6">
        <v>6.8999999999999999E-3</v>
      </c>
    </row>
    <row r="213" spans="2:6">
      <c r="B213" t="s">
        <v>85</v>
      </c>
      <c r="C213" s="6">
        <v>6.0600000000000001E-2</v>
      </c>
      <c r="D213" s="6">
        <v>3.85E-2</v>
      </c>
      <c r="E213" s="6">
        <v>3.9100000000000003E-2</v>
      </c>
      <c r="F213" s="6">
        <v>7.2099999999999997E-2</v>
      </c>
    </row>
    <row r="214" spans="2:6">
      <c r="B214" t="s">
        <v>310</v>
      </c>
      <c r="C214" s="6">
        <v>1.4200000000000001E-2</v>
      </c>
      <c r="D214" s="6">
        <v>2.0299999999999999E-2</v>
      </c>
      <c r="E214" s="6">
        <v>1.83E-2</v>
      </c>
      <c r="F214" s="6">
        <v>1.7899999999999999E-2</v>
      </c>
    </row>
    <row r="215" spans="2:6">
      <c r="B215" t="s">
        <v>140</v>
      </c>
      <c r="C215" s="6">
        <v>7.7399999999999997E-2</v>
      </c>
      <c r="D215" s="6">
        <v>2.8400000000000002E-2</v>
      </c>
      <c r="E215" s="6">
        <v>2.06E-2</v>
      </c>
      <c r="F215" s="6">
        <v>2.8400000000000002E-2</v>
      </c>
    </row>
    <row r="216" spans="2:6">
      <c r="B216" t="s">
        <v>495</v>
      </c>
      <c r="C216" s="6">
        <v>2.3099999999999999E-2</v>
      </c>
      <c r="D216" s="6">
        <v>1.1999999999999999E-3</v>
      </c>
      <c r="E216" s="6">
        <v>0.35360000000000003</v>
      </c>
      <c r="F216" s="6">
        <v>1.7100000000000001E-2</v>
      </c>
    </row>
    <row r="217" spans="2:6">
      <c r="B217" t="s">
        <v>9</v>
      </c>
      <c r="C217" s="6">
        <v>0.1201</v>
      </c>
      <c r="D217" s="6">
        <v>2.7199999999999998E-2</v>
      </c>
      <c r="E217" s="6">
        <v>9.2999999999999992E-3</v>
      </c>
      <c r="F217" s="6">
        <v>1E-3</v>
      </c>
    </row>
    <row r="218" spans="2:6">
      <c r="B218" t="s">
        <v>810</v>
      </c>
      <c r="C218" s="6">
        <v>0.2646</v>
      </c>
      <c r="D218" s="6">
        <v>0.18260000000000001</v>
      </c>
      <c r="E218" s="6">
        <v>0.1709</v>
      </c>
      <c r="F218" s="6">
        <v>0.18149999999999999</v>
      </c>
    </row>
    <row r="219" spans="2:6">
      <c r="B219" t="s">
        <v>309</v>
      </c>
      <c r="C219" s="6">
        <v>3.8399999999999997E-2</v>
      </c>
      <c r="D219" s="6">
        <v>2.7199999999999998E-2</v>
      </c>
      <c r="E219" s="6">
        <v>1.6400000000000001E-2</v>
      </c>
      <c r="F219" s="6">
        <v>4.7000000000000002E-3</v>
      </c>
    </row>
    <row r="220" spans="2:6">
      <c r="B220" t="s">
        <v>307</v>
      </c>
      <c r="C220" s="6">
        <v>4.4999999999999997E-3</v>
      </c>
      <c r="D220" s="6">
        <v>0.14000000000000001</v>
      </c>
      <c r="E220" s="6">
        <v>6.1199999999999997E-2</v>
      </c>
      <c r="F220" s="6">
        <v>4.5999999999999999E-3</v>
      </c>
    </row>
    <row r="221" spans="2:6">
      <c r="B221" t="s">
        <v>105</v>
      </c>
      <c r="C221" s="6">
        <v>7.4000000000000003E-3</v>
      </c>
      <c r="D221" s="6">
        <v>3.3999999999999998E-3</v>
      </c>
      <c r="E221" s="6">
        <v>2.0999999999999999E-3</v>
      </c>
      <c r="F221" s="6">
        <v>6.4000000000000003E-3</v>
      </c>
    </row>
    <row r="222" spans="2:6">
      <c r="B222" t="s">
        <v>4</v>
      </c>
      <c r="C222" s="6">
        <v>1.2800000000000001E-2</v>
      </c>
      <c r="D222" s="6">
        <v>1.2200000000000001E-2</v>
      </c>
      <c r="E222" s="6">
        <v>2.2100000000000002E-2</v>
      </c>
      <c r="F222" s="6">
        <v>1.7600000000000001E-2</v>
      </c>
    </row>
    <row r="223" spans="2:6">
      <c r="B223" t="s">
        <v>157</v>
      </c>
      <c r="C223" s="6">
        <v>1.4999999999999999E-2</v>
      </c>
      <c r="D223" s="6">
        <v>2.8E-3</v>
      </c>
      <c r="E223" s="6">
        <v>2.5000000000000001E-3</v>
      </c>
      <c r="F223" s="6">
        <v>5.1000000000000004E-3</v>
      </c>
    </row>
    <row r="224" spans="2:6">
      <c r="B224" t="s">
        <v>110</v>
      </c>
      <c r="C224" s="6">
        <v>6.3E-3</v>
      </c>
      <c r="D224" s="6">
        <v>9.7999999999999997E-3</v>
      </c>
      <c r="E224" s="6">
        <v>1.2500000000000001E-2</v>
      </c>
      <c r="F224" s="6">
        <v>2.69E-2</v>
      </c>
    </row>
    <row r="225" spans="2:6">
      <c r="B225" t="s">
        <v>822</v>
      </c>
      <c r="C225" s="6">
        <v>0.04</v>
      </c>
      <c r="D225" s="6">
        <v>2.41E-2</v>
      </c>
      <c r="E225" s="6">
        <v>1.0699999999999999E-2</v>
      </c>
      <c r="F225" s="6">
        <v>4.5999999999999999E-3</v>
      </c>
    </row>
    <row r="226" spans="2:6">
      <c r="B226" t="s">
        <v>808</v>
      </c>
      <c r="C226" s="6">
        <v>8.2000000000000007E-3</v>
      </c>
      <c r="D226" s="6">
        <v>8.0000000000000002E-3</v>
      </c>
      <c r="E226" s="6">
        <v>1.66E-2</v>
      </c>
      <c r="F226" s="6">
        <v>1.7000000000000001E-2</v>
      </c>
    </row>
    <row r="227" spans="2:6">
      <c r="B227" t="s">
        <v>135</v>
      </c>
      <c r="C227" s="6">
        <v>7.2499999999999995E-2</v>
      </c>
      <c r="D227" s="6">
        <v>8.8499999999999995E-2</v>
      </c>
      <c r="E227" s="6">
        <v>7.7299999999999994E-2</v>
      </c>
      <c r="F227" s="6">
        <v>0.1135</v>
      </c>
    </row>
    <row r="228" spans="2:6">
      <c r="B228" t="s">
        <v>420</v>
      </c>
      <c r="C228" s="6">
        <v>6.4000000000000001E-2</v>
      </c>
      <c r="D228" s="6">
        <v>6.08E-2</v>
      </c>
      <c r="E228" s="6">
        <v>7.6999999999999999E-2</v>
      </c>
      <c r="F228" s="6">
        <v>3.27E-2</v>
      </c>
    </row>
    <row r="229" spans="2:6">
      <c r="B229" t="s">
        <v>353</v>
      </c>
      <c r="C229" s="6">
        <v>3.2500000000000001E-2</v>
      </c>
      <c r="D229" s="6">
        <v>6.13E-2</v>
      </c>
      <c r="E229" s="6">
        <v>7.85E-2</v>
      </c>
      <c r="F229" s="6">
        <v>7.3599999999999999E-2</v>
      </c>
    </row>
    <row r="230" spans="2:6">
      <c r="B230" t="s">
        <v>476</v>
      </c>
      <c r="C230" s="6">
        <v>0.19919999999999999</v>
      </c>
      <c r="D230" s="6">
        <v>0.2049</v>
      </c>
      <c r="E230" s="6">
        <v>0.1646</v>
      </c>
      <c r="F230" s="6">
        <v>0.17749999999999999</v>
      </c>
    </row>
    <row r="231" spans="2:6">
      <c r="B231" t="s">
        <v>479</v>
      </c>
      <c r="C231" s="6">
        <v>0.38619999999999999</v>
      </c>
      <c r="D231" s="6">
        <v>1.95E-2</v>
      </c>
      <c r="E231" s="6">
        <v>6.2399999999999997E-2</v>
      </c>
      <c r="F231" s="6">
        <v>1.2999999999999999E-3</v>
      </c>
    </row>
    <row r="232" spans="2:6">
      <c r="B232" t="s">
        <v>480</v>
      </c>
      <c r="C232" s="6">
        <v>0.1343</v>
      </c>
      <c r="D232" s="6">
        <v>0.1179</v>
      </c>
      <c r="E232" s="6">
        <v>0.25740000000000002</v>
      </c>
      <c r="F232" s="6">
        <v>0.1706</v>
      </c>
    </row>
    <row r="233" spans="2:6">
      <c r="B233" t="s">
        <v>262</v>
      </c>
      <c r="C233" s="6">
        <v>0.1177</v>
      </c>
      <c r="D233" s="6">
        <v>3.3000000000000002E-2</v>
      </c>
      <c r="E233" s="6">
        <v>2.1999999999999999E-2</v>
      </c>
      <c r="F233" s="6">
        <v>6.7999999999999996E-3</v>
      </c>
    </row>
    <row r="234" spans="2:6">
      <c r="B234" t="s">
        <v>10</v>
      </c>
      <c r="C234" s="6">
        <v>5.7799999999999997E-2</v>
      </c>
      <c r="D234" s="6">
        <v>3.4700000000000002E-2</v>
      </c>
      <c r="E234" s="6">
        <v>6.0299999999999999E-2</v>
      </c>
      <c r="F234" s="6">
        <v>6.2199999999999998E-2</v>
      </c>
    </row>
    <row r="235" spans="2:6">
      <c r="B235" t="s">
        <v>75</v>
      </c>
      <c r="C235" s="6">
        <v>9.4299999999999995E-2</v>
      </c>
      <c r="D235" s="6">
        <v>6.3100000000000003E-2</v>
      </c>
      <c r="E235" s="6">
        <v>0.13189999999999999</v>
      </c>
      <c r="F235" s="6">
        <v>9.2700000000000005E-2</v>
      </c>
    </row>
    <row r="236" spans="2:6">
      <c r="B236" t="s">
        <v>81</v>
      </c>
      <c r="C236" s="6">
        <v>1.47E-2</v>
      </c>
      <c r="D236" s="6">
        <v>9.4999999999999998E-3</v>
      </c>
      <c r="E236" s="6">
        <v>3.8999999999999998E-3</v>
      </c>
      <c r="F236" s="6">
        <v>8.6999999999999994E-3</v>
      </c>
    </row>
    <row r="237" spans="2:6">
      <c r="B237" t="s">
        <v>74</v>
      </c>
      <c r="C237" s="6">
        <v>6.3100000000000003E-2</v>
      </c>
      <c r="D237" s="6">
        <v>4.0300000000000002E-2</v>
      </c>
      <c r="E237" s="6">
        <v>7.6200000000000004E-2</v>
      </c>
      <c r="F237" s="6">
        <v>0.1037</v>
      </c>
    </row>
    <row r="238" spans="2:6">
      <c r="B238" t="s">
        <v>831</v>
      </c>
      <c r="C238" s="6">
        <v>4.0000000000000001E-3</v>
      </c>
      <c r="D238" s="6">
        <v>6.8999999999999999E-3</v>
      </c>
      <c r="E238" s="6">
        <v>0.12870000000000001</v>
      </c>
      <c r="F238" s="6">
        <v>4.9000000000000002E-2</v>
      </c>
    </row>
    <row r="239" spans="2:6">
      <c r="B239" t="s">
        <v>809</v>
      </c>
      <c r="C239" s="6">
        <v>0.1011</v>
      </c>
      <c r="D239" s="6">
        <v>5.8099999999999999E-2</v>
      </c>
      <c r="E239" s="6">
        <v>3.9100000000000003E-2</v>
      </c>
      <c r="F239" s="6">
        <v>4.1300000000000003E-2</v>
      </c>
    </row>
    <row r="240" spans="2:6">
      <c r="B240" t="s">
        <v>236</v>
      </c>
      <c r="C240" s="6">
        <v>0.21609999999999999</v>
      </c>
      <c r="D240" s="6">
        <v>0.156</v>
      </c>
      <c r="E240" s="6">
        <v>1.6000000000000001E-3</v>
      </c>
      <c r="F240" s="6">
        <v>6.9999999999999999E-4</v>
      </c>
    </row>
    <row r="241" spans="2:6">
      <c r="B241" t="s">
        <v>162</v>
      </c>
      <c r="C241" s="6">
        <v>1.4800000000000001E-2</v>
      </c>
      <c r="D241" s="6">
        <v>5.45E-2</v>
      </c>
      <c r="E241" s="6">
        <v>9.6000000000000002E-2</v>
      </c>
      <c r="F241" s="6">
        <v>4.4000000000000003E-3</v>
      </c>
    </row>
    <row r="242" spans="2:6">
      <c r="B242" t="s">
        <v>241</v>
      </c>
      <c r="C242" s="6">
        <v>3.6799999999999999E-2</v>
      </c>
      <c r="D242" s="6">
        <v>8.1299999999999997E-2</v>
      </c>
      <c r="E242" s="6">
        <v>2.2100000000000002E-2</v>
      </c>
      <c r="F242" s="6">
        <v>2.7099999999999999E-2</v>
      </c>
    </row>
    <row r="243" spans="2:6">
      <c r="B243" t="s">
        <v>379</v>
      </c>
      <c r="C243" s="6">
        <v>0.32919999999999999</v>
      </c>
      <c r="D243" s="6">
        <v>0.18140000000000001</v>
      </c>
      <c r="E243" s="6">
        <v>9.64E-2</v>
      </c>
      <c r="F243" s="6">
        <v>0.15340000000000001</v>
      </c>
    </row>
    <row r="244" spans="2:6">
      <c r="B244" t="s">
        <v>342</v>
      </c>
      <c r="C244" s="6">
        <v>1.26E-2</v>
      </c>
      <c r="D244" s="6">
        <v>2.1999999999999999E-2</v>
      </c>
      <c r="E244" s="6">
        <v>5.7999999999999996E-3</v>
      </c>
      <c r="F244" s="6">
        <v>2.0000000000000001E-4</v>
      </c>
    </row>
    <row r="245" spans="2:6">
      <c r="B245" t="s">
        <v>289</v>
      </c>
      <c r="C245" s="6">
        <v>2.41E-2</v>
      </c>
      <c r="D245" s="6">
        <v>2.3E-3</v>
      </c>
      <c r="E245" s="6">
        <v>0.12379999999999999</v>
      </c>
      <c r="F245" s="6">
        <v>2.4299999999999999E-2</v>
      </c>
    </row>
    <row r="246" spans="2:6">
      <c r="B246" t="s">
        <v>196</v>
      </c>
      <c r="C246" s="6">
        <v>2.24E-2</v>
      </c>
      <c r="D246" s="6">
        <v>1.2699999999999999E-2</v>
      </c>
      <c r="E246" s="6">
        <v>2.4E-2</v>
      </c>
      <c r="F246" s="6">
        <v>5.7999999999999996E-3</v>
      </c>
    </row>
    <row r="247" spans="2:6">
      <c r="B247" t="s">
        <v>210</v>
      </c>
      <c r="C247" s="6">
        <v>9.4500000000000001E-2</v>
      </c>
      <c r="D247" s="6">
        <v>9.1700000000000004E-2</v>
      </c>
      <c r="E247" s="6">
        <v>0.1447</v>
      </c>
      <c r="F247" s="6">
        <v>0.1361</v>
      </c>
    </row>
    <row r="248" spans="2:6">
      <c r="B248" t="s">
        <v>232</v>
      </c>
      <c r="C248" s="6">
        <v>1.41E-2</v>
      </c>
      <c r="D248" s="6">
        <v>4.5999999999999999E-3</v>
      </c>
      <c r="E248" s="6">
        <v>5.1999999999999998E-3</v>
      </c>
      <c r="F248" s="6">
        <v>2.9000000000000001E-2</v>
      </c>
    </row>
    <row r="249" spans="2:6">
      <c r="B249" t="s">
        <v>410</v>
      </c>
      <c r="C249" s="6">
        <v>0.1547</v>
      </c>
      <c r="D249" s="6">
        <v>0.1027</v>
      </c>
      <c r="E249" s="6">
        <v>4.0099999999999997E-2</v>
      </c>
      <c r="F249" s="6">
        <v>5.7799999999999997E-2</v>
      </c>
    </row>
    <row r="250" spans="2:6">
      <c r="B250" t="s">
        <v>181</v>
      </c>
      <c r="C250" s="6">
        <v>1.24E-2</v>
      </c>
      <c r="D250" s="6">
        <v>7.9000000000000008E-3</v>
      </c>
      <c r="E250" s="6">
        <v>6.0000000000000001E-3</v>
      </c>
      <c r="F250" s="6">
        <v>8.8999999999999999E-3</v>
      </c>
    </row>
    <row r="251" spans="2:6">
      <c r="B251" t="s">
        <v>33</v>
      </c>
      <c r="C251" s="6">
        <v>7.6499999999999999E-2</v>
      </c>
      <c r="D251" s="6">
        <v>9.5799999999999996E-2</v>
      </c>
      <c r="E251" s="6">
        <v>8.9200000000000002E-2</v>
      </c>
      <c r="F251" s="6">
        <v>7.1999999999999995E-2</v>
      </c>
    </row>
    <row r="252" spans="2:6">
      <c r="B252" t="s">
        <v>298</v>
      </c>
      <c r="C252" s="6">
        <v>2.01E-2</v>
      </c>
      <c r="D252" s="6">
        <v>6.0000000000000001E-3</v>
      </c>
      <c r="E252" s="6">
        <v>0.04</v>
      </c>
      <c r="F252" s="6">
        <v>3.1699999999999999E-2</v>
      </c>
    </row>
    <row r="253" spans="2:6">
      <c r="B253" t="s">
        <v>49</v>
      </c>
      <c r="C253" s="6">
        <v>6.4399999999999999E-2</v>
      </c>
      <c r="D253" s="6">
        <v>0.10630000000000001</v>
      </c>
      <c r="E253" s="6">
        <v>0.11169999999999999</v>
      </c>
      <c r="F253" s="6">
        <v>8.6699999999999999E-2</v>
      </c>
    </row>
    <row r="254" spans="2:6">
      <c r="B254" t="s">
        <v>821</v>
      </c>
      <c r="C254" s="6">
        <v>1.1599999999999999E-2</v>
      </c>
      <c r="D254" s="6">
        <v>1.3599999999999999E-2</v>
      </c>
      <c r="E254" s="6">
        <v>6.8999999999999999E-3</v>
      </c>
      <c r="F254" s="6">
        <v>5.1999999999999998E-3</v>
      </c>
    </row>
    <row r="255" spans="2:6">
      <c r="B255" t="s">
        <v>149</v>
      </c>
      <c r="C255" s="6">
        <v>3.5700000000000003E-2</v>
      </c>
      <c r="D255" s="6">
        <v>0.1061</v>
      </c>
      <c r="E255" s="6">
        <v>3.56E-2</v>
      </c>
      <c r="F255" s="6">
        <v>1.12E-2</v>
      </c>
    </row>
    <row r="256" spans="2:6">
      <c r="B256" t="s">
        <v>190</v>
      </c>
      <c r="C256" s="6">
        <v>5.21E-2</v>
      </c>
      <c r="D256" s="6">
        <v>2.1399999999999999E-2</v>
      </c>
      <c r="E256" s="6">
        <v>1.41E-2</v>
      </c>
      <c r="F256" s="6">
        <v>1.2200000000000001E-2</v>
      </c>
    </row>
    <row r="257" spans="2:6">
      <c r="B257" t="s">
        <v>184</v>
      </c>
      <c r="C257" s="6">
        <v>2.18E-2</v>
      </c>
      <c r="D257" s="6">
        <v>4.2599999999999999E-2</v>
      </c>
      <c r="E257" s="6">
        <v>0.109</v>
      </c>
      <c r="F257" s="6">
        <v>3.6499999999999998E-2</v>
      </c>
    </row>
    <row r="258" spans="2:6">
      <c r="B258" t="s">
        <v>451</v>
      </c>
      <c r="C258" s="6">
        <v>4.2700000000000002E-2</v>
      </c>
      <c r="D258" s="6">
        <v>4.1799999999999997E-2</v>
      </c>
      <c r="E258" s="6">
        <v>3.9199999999999999E-2</v>
      </c>
      <c r="F258" s="6">
        <v>1.8800000000000001E-2</v>
      </c>
    </row>
    <row r="259" spans="2:6">
      <c r="B259" t="s">
        <v>38</v>
      </c>
      <c r="C259" s="6">
        <v>6.1600000000000002E-2</v>
      </c>
      <c r="D259" s="6">
        <v>9.35E-2</v>
      </c>
      <c r="E259" s="6">
        <v>6.7500000000000004E-2</v>
      </c>
      <c r="F259" s="6">
        <v>6.7500000000000004E-2</v>
      </c>
    </row>
    <row r="260" spans="2:6">
      <c r="B260" t="s">
        <v>816</v>
      </c>
      <c r="C260" s="6">
        <v>0.1696</v>
      </c>
      <c r="D260" s="6">
        <v>0.1129</v>
      </c>
      <c r="E260" s="6">
        <v>0.1323</v>
      </c>
      <c r="F260" s="6">
        <v>0.14549999999999999</v>
      </c>
    </row>
    <row r="261" spans="2:6">
      <c r="B261" t="s">
        <v>29</v>
      </c>
      <c r="C261" s="6">
        <v>0.1431</v>
      </c>
      <c r="D261" s="6">
        <v>1.2E-2</v>
      </c>
      <c r="E261" s="6">
        <v>4.24E-2</v>
      </c>
      <c r="F261" s="6">
        <v>2.63E-2</v>
      </c>
    </row>
    <row r="262" spans="2:6">
      <c r="B262" t="s">
        <v>43</v>
      </c>
      <c r="C262" s="6">
        <v>3.5000000000000001E-3</v>
      </c>
      <c r="D262" s="6">
        <v>3.0999999999999999E-3</v>
      </c>
      <c r="E262" s="6">
        <v>1.5699999999999999E-2</v>
      </c>
      <c r="F262" s="6">
        <v>6.1999999999999998E-3</v>
      </c>
    </row>
    <row r="263" spans="2:6">
      <c r="B263" t="s">
        <v>240</v>
      </c>
      <c r="C263" s="6">
        <v>2.4400000000000002E-2</v>
      </c>
      <c r="D263" s="6">
        <v>1.9E-2</v>
      </c>
      <c r="E263" s="6">
        <v>3.5299999999999998E-2</v>
      </c>
      <c r="F263" s="6">
        <v>5.6099999999999997E-2</v>
      </c>
    </row>
    <row r="264" spans="2:6">
      <c r="B264" t="s">
        <v>291</v>
      </c>
      <c r="C264" s="6">
        <v>1.4E-3</v>
      </c>
      <c r="D264" s="6">
        <v>1.9400000000000001E-2</v>
      </c>
      <c r="E264" s="6">
        <v>5.7999999999999996E-3</v>
      </c>
      <c r="F264" s="6">
        <v>1.11E-2</v>
      </c>
    </row>
    <row r="265" spans="2:6">
      <c r="B265" t="s">
        <v>205</v>
      </c>
      <c r="C265" s="6">
        <v>7.7700000000000005E-2</v>
      </c>
      <c r="D265" s="6">
        <v>0.14199999999999999</v>
      </c>
      <c r="E265" s="6">
        <v>0.1022</v>
      </c>
      <c r="F265" s="6">
        <v>0.1114</v>
      </c>
    </row>
    <row r="266" spans="2:6">
      <c r="B266" t="s">
        <v>284</v>
      </c>
      <c r="C266" s="6">
        <v>5.62E-2</v>
      </c>
      <c r="D266" s="6">
        <v>3.0499999999999999E-2</v>
      </c>
      <c r="E266" s="6">
        <v>0.1116</v>
      </c>
      <c r="F266" s="6">
        <v>5.3600000000000002E-2</v>
      </c>
    </row>
    <row r="267" spans="2:6">
      <c r="B267" t="s">
        <v>331</v>
      </c>
      <c r="C267" s="6">
        <v>0.2671</v>
      </c>
      <c r="D267" s="6">
        <v>0.2122</v>
      </c>
      <c r="E267" s="6">
        <v>4.3E-3</v>
      </c>
      <c r="F267" s="6">
        <v>1.1999999999999999E-3</v>
      </c>
    </row>
    <row r="268" spans="2:6">
      <c r="B268" t="s">
        <v>285</v>
      </c>
      <c r="C268" s="6">
        <v>0.15479999999999999</v>
      </c>
      <c r="D268" s="6">
        <v>0.1867</v>
      </c>
      <c r="E268" s="6">
        <v>0.1164</v>
      </c>
      <c r="F268" s="6">
        <v>6.54E-2</v>
      </c>
    </row>
    <row r="269" spans="2:6">
      <c r="B269" t="s">
        <v>62</v>
      </c>
      <c r="C269" s="6">
        <v>2.1999999999999999E-2</v>
      </c>
      <c r="D269" s="6">
        <v>2.5499999999999998E-2</v>
      </c>
      <c r="E269" s="6">
        <v>1.43E-2</v>
      </c>
      <c r="F269" s="6">
        <v>1.89E-2</v>
      </c>
    </row>
    <row r="270" spans="2:6">
      <c r="B270" t="s">
        <v>218</v>
      </c>
      <c r="C270" s="6">
        <v>0.16880000000000001</v>
      </c>
      <c r="D270" s="6">
        <v>4.5900000000000003E-2</v>
      </c>
      <c r="E270" s="6">
        <v>6.59E-2</v>
      </c>
      <c r="F270" s="6">
        <v>0.1439</v>
      </c>
    </row>
    <row r="271" spans="2:6">
      <c r="B271" t="s">
        <v>211</v>
      </c>
      <c r="C271" s="6">
        <v>2.9399999999999999E-2</v>
      </c>
      <c r="D271" s="6">
        <v>5.0900000000000001E-2</v>
      </c>
      <c r="E271" s="6">
        <v>7.6100000000000001E-2</v>
      </c>
      <c r="F271" s="6">
        <v>3.8100000000000002E-2</v>
      </c>
    </row>
    <row r="272" spans="2:6">
      <c r="B272" t="s">
        <v>242</v>
      </c>
      <c r="C272" s="6">
        <v>1.0500000000000001E-2</v>
      </c>
      <c r="D272" s="6">
        <v>5.8999999999999999E-3</v>
      </c>
      <c r="E272" s="6">
        <v>1.3899999999999999E-2</v>
      </c>
      <c r="F272" s="6">
        <v>7.3000000000000001E-3</v>
      </c>
    </row>
    <row r="273" spans="2:6">
      <c r="B273" t="s">
        <v>116</v>
      </c>
      <c r="C273" s="6">
        <v>5.7599999999999998E-2</v>
      </c>
      <c r="D273" s="6">
        <v>0.09</v>
      </c>
      <c r="E273" s="6">
        <v>7.9600000000000004E-2</v>
      </c>
      <c r="F273" s="6">
        <v>0.1169</v>
      </c>
    </row>
    <row r="274" spans="2:6">
      <c r="B274" t="s">
        <v>158</v>
      </c>
      <c r="C274" s="6">
        <v>3.6700000000000003E-2</v>
      </c>
      <c r="D274" s="6">
        <v>9.5899999999999999E-2</v>
      </c>
      <c r="E274" s="6">
        <v>0.186</v>
      </c>
      <c r="F274" s="6">
        <v>1.7899999999999999E-2</v>
      </c>
    </row>
    <row r="275" spans="2:6">
      <c r="B275" t="s">
        <v>98</v>
      </c>
      <c r="C275" s="6">
        <v>3.6499999999999998E-2</v>
      </c>
      <c r="D275" s="6">
        <v>2.8E-3</v>
      </c>
      <c r="E275" s="6">
        <v>8.9999999999999998E-4</v>
      </c>
      <c r="F275" s="6">
        <v>3.0999999999999999E-3</v>
      </c>
    </row>
    <row r="276" spans="2:6">
      <c r="B276" t="s">
        <v>86</v>
      </c>
      <c r="C276" s="6">
        <v>7.7000000000000002E-3</v>
      </c>
      <c r="D276" s="6">
        <v>1.49E-2</v>
      </c>
      <c r="E276" s="6">
        <v>1.18E-2</v>
      </c>
      <c r="F276" s="6">
        <v>2.7000000000000001E-3</v>
      </c>
    </row>
    <row r="277" spans="2:6">
      <c r="B277" t="s">
        <v>90</v>
      </c>
      <c r="C277" s="6">
        <v>1.4999999999999999E-2</v>
      </c>
      <c r="D277" s="6">
        <v>5.2400000000000002E-2</v>
      </c>
      <c r="E277" s="6">
        <v>4.07E-2</v>
      </c>
      <c r="F277" s="6">
        <v>2.9000000000000001E-2</v>
      </c>
    </row>
    <row r="278" spans="2:6">
      <c r="B278" t="s">
        <v>204</v>
      </c>
      <c r="C278" s="6">
        <v>4.9700000000000001E-2</v>
      </c>
      <c r="D278" s="6">
        <v>5.2499999999999998E-2</v>
      </c>
      <c r="E278" s="6">
        <v>6.9099999999999995E-2</v>
      </c>
      <c r="F278" s="6">
        <v>5.4699999999999999E-2</v>
      </c>
    </row>
    <row r="279" spans="2:6">
      <c r="B279" t="s">
        <v>414</v>
      </c>
      <c r="C279" s="6">
        <v>7.9000000000000008E-3</v>
      </c>
      <c r="D279" s="6">
        <v>1.9E-2</v>
      </c>
      <c r="E279" s="6">
        <v>3.8899999999999997E-2</v>
      </c>
      <c r="F279" s="6">
        <v>1.8599999999999998E-2</v>
      </c>
    </row>
    <row r="280" spans="2:6">
      <c r="B280" t="s">
        <v>119</v>
      </c>
      <c r="C280" s="6">
        <v>1.9E-3</v>
      </c>
      <c r="D280" s="6">
        <v>6.7999999999999996E-3</v>
      </c>
      <c r="E280" s="6">
        <v>9.2999999999999992E-3</v>
      </c>
      <c r="F280" s="6">
        <v>8.3999999999999995E-3</v>
      </c>
    </row>
    <row r="281" spans="2:6">
      <c r="B281" t="s">
        <v>22</v>
      </c>
      <c r="C281" s="6">
        <v>1.41E-2</v>
      </c>
      <c r="D281" s="6">
        <v>3.9300000000000002E-2</v>
      </c>
      <c r="E281" s="6">
        <v>3.1300000000000001E-2</v>
      </c>
      <c r="F281" s="6">
        <v>3.0599999999999999E-2</v>
      </c>
    </row>
    <row r="282" spans="2:6">
      <c r="B282" t="s">
        <v>68</v>
      </c>
      <c r="C282" s="6">
        <v>0.15279999999999999</v>
      </c>
      <c r="D282" s="6">
        <v>3.8600000000000002E-2</v>
      </c>
      <c r="E282" s="6">
        <v>1.2800000000000001E-2</v>
      </c>
      <c r="F282" s="6">
        <v>1.8800000000000001E-2</v>
      </c>
    </row>
    <row r="283" spans="2:6">
      <c r="B283" t="s">
        <v>329</v>
      </c>
      <c r="C283" s="6">
        <v>0.14330000000000001</v>
      </c>
      <c r="D283" s="6">
        <v>8.8000000000000005E-3</v>
      </c>
      <c r="E283" s="6">
        <v>3.5000000000000001E-3</v>
      </c>
      <c r="F283" s="6">
        <v>0</v>
      </c>
    </row>
    <row r="284" spans="2:6">
      <c r="B284" t="s">
        <v>491</v>
      </c>
      <c r="C284" s="6">
        <v>8.9099999999999999E-2</v>
      </c>
      <c r="D284" s="6">
        <v>2.2599999999999999E-2</v>
      </c>
      <c r="E284" s="6">
        <v>3.78E-2</v>
      </c>
      <c r="F284" s="6">
        <v>6.5600000000000006E-2</v>
      </c>
    </row>
    <row r="285" spans="2:6">
      <c r="B285" t="s">
        <v>118</v>
      </c>
      <c r="C285" s="6">
        <v>0.1462</v>
      </c>
      <c r="D285" s="6">
        <v>3.09E-2</v>
      </c>
      <c r="E285" s="6">
        <v>8.0999999999999996E-3</v>
      </c>
      <c r="F285" s="6">
        <v>9.7999999999999997E-3</v>
      </c>
    </row>
    <row r="286" spans="2:6">
      <c r="B286" t="s">
        <v>260</v>
      </c>
      <c r="C286" s="6">
        <v>7.1000000000000004E-3</v>
      </c>
      <c r="D286" s="6">
        <v>8.7300000000000003E-2</v>
      </c>
      <c r="E286" s="6">
        <v>3.0999999999999999E-3</v>
      </c>
      <c r="F286" s="6">
        <v>0.114</v>
      </c>
    </row>
    <row r="287" spans="2:6">
      <c r="B287" t="s">
        <v>292</v>
      </c>
      <c r="C287" s="6">
        <v>1.6000000000000001E-3</v>
      </c>
      <c r="D287" s="6">
        <v>8.5000000000000006E-3</v>
      </c>
      <c r="E287" s="6">
        <v>9.1999999999999998E-3</v>
      </c>
      <c r="F287" s="6">
        <v>9.0800000000000006E-2</v>
      </c>
    </row>
    <row r="288" spans="2:6">
      <c r="B288" t="s">
        <v>61</v>
      </c>
      <c r="C288" s="6">
        <v>3.0999999999999999E-3</v>
      </c>
      <c r="D288" s="6">
        <v>1.43E-2</v>
      </c>
      <c r="E288" s="6">
        <v>3.4599999999999999E-2</v>
      </c>
      <c r="F288" s="6">
        <v>1.0999999999999999E-2</v>
      </c>
    </row>
    <row r="289" spans="2:6">
      <c r="B289" t="s">
        <v>94</v>
      </c>
      <c r="C289" s="6">
        <v>8.8000000000000005E-3</v>
      </c>
      <c r="D289" s="6">
        <v>8.9999999999999993E-3</v>
      </c>
      <c r="E289" s="6">
        <v>9.9000000000000008E-3</v>
      </c>
      <c r="F289" s="6">
        <v>1.17E-2</v>
      </c>
    </row>
    <row r="290" spans="2:6">
      <c r="B290" t="s">
        <v>417</v>
      </c>
      <c r="C290" s="6">
        <v>2.5899999999999999E-2</v>
      </c>
      <c r="D290" s="6">
        <v>7.6499999999999999E-2</v>
      </c>
      <c r="E290" s="6">
        <v>0.16259999999999999</v>
      </c>
      <c r="F290" s="6">
        <v>0.18229999999999999</v>
      </c>
    </row>
    <row r="291" spans="2:6">
      <c r="B291" t="s">
        <v>193</v>
      </c>
      <c r="C291" s="6">
        <v>2.6499999999999999E-2</v>
      </c>
      <c r="D291" s="6">
        <v>6.4600000000000005E-2</v>
      </c>
      <c r="E291" s="6">
        <v>3.5799999999999998E-2</v>
      </c>
      <c r="F291" s="6">
        <v>1.7899999999999999E-2</v>
      </c>
    </row>
    <row r="292" spans="2:6">
      <c r="B292" t="s">
        <v>283</v>
      </c>
      <c r="C292" s="6">
        <v>7.8E-2</v>
      </c>
      <c r="D292" s="6">
        <v>8.0799999999999997E-2</v>
      </c>
      <c r="E292" s="6">
        <v>6.9500000000000006E-2</v>
      </c>
      <c r="F292" s="6">
        <v>7.6499999999999999E-2</v>
      </c>
    </row>
    <row r="293" spans="2:6">
      <c r="B293" t="s">
        <v>424</v>
      </c>
      <c r="C293" s="6">
        <v>3.2500000000000001E-2</v>
      </c>
      <c r="D293" s="6">
        <v>1.83E-2</v>
      </c>
      <c r="E293" s="6">
        <v>8.3999999999999995E-3</v>
      </c>
      <c r="F293" s="6">
        <v>1.1999999999999999E-3</v>
      </c>
    </row>
    <row r="294" spans="2:6">
      <c r="B294" t="s">
        <v>31</v>
      </c>
      <c r="C294" s="6">
        <v>2.4199999999999999E-2</v>
      </c>
      <c r="D294" s="6">
        <v>2.5000000000000001E-3</v>
      </c>
      <c r="E294" s="6">
        <v>4.1000000000000003E-3</v>
      </c>
      <c r="F294" s="6">
        <v>2.5000000000000001E-3</v>
      </c>
    </row>
    <row r="295" spans="2:6">
      <c r="B295" t="s">
        <v>404</v>
      </c>
      <c r="C295" s="6">
        <v>2.3999999999999998E-3</v>
      </c>
      <c r="D295" s="6">
        <v>1E-4</v>
      </c>
      <c r="E295" s="6">
        <v>1E-4</v>
      </c>
      <c r="F295" s="6">
        <v>1E-4</v>
      </c>
    </row>
    <row r="296" spans="2:6">
      <c r="B296" t="s">
        <v>325</v>
      </c>
      <c r="C296" s="6">
        <v>9.6699999999999994E-2</v>
      </c>
      <c r="D296" s="6">
        <v>0.1145</v>
      </c>
      <c r="E296" s="6">
        <v>0.10970000000000001</v>
      </c>
      <c r="F296" s="6">
        <v>0.11409999999999999</v>
      </c>
    </row>
    <row r="297" spans="2:6">
      <c r="B297" t="s">
        <v>402</v>
      </c>
      <c r="C297" s="6">
        <v>1.6500000000000001E-2</v>
      </c>
      <c r="D297" s="6">
        <v>1.6299999999999999E-2</v>
      </c>
      <c r="E297" s="6">
        <v>6.0000000000000001E-3</v>
      </c>
      <c r="F297" s="6">
        <v>2.8999999999999998E-3</v>
      </c>
    </row>
    <row r="298" spans="2:6">
      <c r="B298" t="s">
        <v>65</v>
      </c>
      <c r="C298" s="6">
        <v>1.2699999999999999E-2</v>
      </c>
      <c r="D298" s="6">
        <v>4.7000000000000002E-3</v>
      </c>
      <c r="E298" s="6">
        <v>9.1999999999999998E-3</v>
      </c>
      <c r="F298" s="6">
        <v>1.8700000000000001E-2</v>
      </c>
    </row>
    <row r="299" spans="2:6">
      <c r="B299" t="s">
        <v>58</v>
      </c>
      <c r="C299" s="6">
        <v>3.9399999999999998E-2</v>
      </c>
      <c r="D299" s="6">
        <v>2.8899999999999999E-2</v>
      </c>
      <c r="E299" s="6">
        <v>3.1300000000000001E-2</v>
      </c>
      <c r="F299" s="6">
        <v>4.58E-2</v>
      </c>
    </row>
    <row r="300" spans="2:6">
      <c r="B300" t="s">
        <v>7</v>
      </c>
      <c r="C300" s="6">
        <v>5.1799999999999999E-2</v>
      </c>
      <c r="D300" s="6">
        <v>7.4899999999999994E-2</v>
      </c>
      <c r="E300" s="6">
        <v>5.9400000000000001E-2</v>
      </c>
      <c r="F300" s="6">
        <v>4.3900000000000002E-2</v>
      </c>
    </row>
    <row r="301" spans="2:6">
      <c r="B301" t="s">
        <v>489</v>
      </c>
      <c r="C301" s="6">
        <v>0.38030000000000003</v>
      </c>
      <c r="D301" s="6">
        <v>0.28170000000000001</v>
      </c>
      <c r="E301" s="6">
        <v>0.1681</v>
      </c>
      <c r="F301" s="6">
        <v>5.9900000000000002E-2</v>
      </c>
    </row>
    <row r="302" spans="2:6">
      <c r="B302" t="s">
        <v>14</v>
      </c>
      <c r="C302" s="6">
        <v>0.1666</v>
      </c>
      <c r="D302" s="6">
        <v>0.2258</v>
      </c>
      <c r="E302" s="6">
        <v>0.1285</v>
      </c>
      <c r="F302" s="6">
        <v>9.3399999999999997E-2</v>
      </c>
    </row>
    <row r="303" spans="2:6">
      <c r="B303" t="s">
        <v>270</v>
      </c>
      <c r="C303" s="6">
        <v>2.5999999999999999E-2</v>
      </c>
      <c r="D303" s="6">
        <v>2.7E-2</v>
      </c>
      <c r="E303" s="6">
        <v>2.9999999999999997E-4</v>
      </c>
      <c r="F303" s="6">
        <v>2.7099999999999999E-2</v>
      </c>
    </row>
    <row r="304" spans="2:6">
      <c r="B304" t="s">
        <v>208</v>
      </c>
      <c r="C304" s="6">
        <v>0</v>
      </c>
      <c r="D304" s="6">
        <v>2.9999999999999997E-4</v>
      </c>
      <c r="E304" s="6">
        <v>1E-4</v>
      </c>
      <c r="F304" s="6">
        <v>5.0000000000000001E-4</v>
      </c>
    </row>
    <row r="305" spans="2:6">
      <c r="B305" t="s">
        <v>494</v>
      </c>
      <c r="C305" s="6">
        <v>0.1384</v>
      </c>
      <c r="D305" s="6">
        <v>2.7E-2</v>
      </c>
      <c r="E305" s="6">
        <v>3.0300000000000001E-2</v>
      </c>
      <c r="F305" s="6">
        <v>2.7000000000000001E-3</v>
      </c>
    </row>
    <row r="306" spans="2:6">
      <c r="B306" t="s">
        <v>230</v>
      </c>
      <c r="C306" s="6">
        <v>5.9400000000000001E-2</v>
      </c>
      <c r="D306" s="6">
        <v>0.1086</v>
      </c>
      <c r="E306" s="6">
        <v>9.6699999999999994E-2</v>
      </c>
      <c r="F306" s="6">
        <v>4.0099999999999997E-2</v>
      </c>
    </row>
    <row r="307" spans="2:6">
      <c r="B307" t="s">
        <v>192</v>
      </c>
      <c r="C307" s="6">
        <v>9.1800000000000007E-2</v>
      </c>
      <c r="D307" s="6">
        <v>2.9000000000000001E-2</v>
      </c>
      <c r="E307" s="6">
        <v>2.4299999999999999E-2</v>
      </c>
      <c r="F307" s="6">
        <v>2.8400000000000002E-2</v>
      </c>
    </row>
    <row r="308" spans="2:6">
      <c r="B308" t="s">
        <v>100</v>
      </c>
      <c r="C308" s="6">
        <v>0.05</v>
      </c>
      <c r="D308" s="6">
        <v>3.32E-2</v>
      </c>
      <c r="E308" s="6">
        <v>1.03E-2</v>
      </c>
      <c r="F308" s="6">
        <v>6.8999999999999999E-3</v>
      </c>
    </row>
    <row r="309" spans="2:6">
      <c r="B309" t="s">
        <v>376</v>
      </c>
      <c r="C309" s="6">
        <v>9.4799999999999995E-2</v>
      </c>
      <c r="D309" s="6">
        <v>0.16220000000000001</v>
      </c>
      <c r="E309" s="6">
        <v>6.5199999999999994E-2</v>
      </c>
      <c r="F309" s="6">
        <v>2.81E-2</v>
      </c>
    </row>
    <row r="310" spans="2:6">
      <c r="B310" t="s">
        <v>308</v>
      </c>
      <c r="C310" s="6">
        <v>2.0199999999999999E-2</v>
      </c>
      <c r="D310" s="6">
        <v>1.7299999999999999E-2</v>
      </c>
      <c r="E310" s="6">
        <v>0.1216</v>
      </c>
      <c r="F310" s="6">
        <v>2.0899999999999998E-2</v>
      </c>
    </row>
    <row r="311" spans="2:6">
      <c r="B311" t="s">
        <v>26</v>
      </c>
      <c r="C311" s="6">
        <v>8.3999999999999995E-3</v>
      </c>
      <c r="D311" s="6">
        <v>2.3E-3</v>
      </c>
      <c r="E311" s="6">
        <v>1.8E-3</v>
      </c>
      <c r="F311" s="6">
        <v>2.2000000000000001E-3</v>
      </c>
    </row>
    <row r="312" spans="2:6">
      <c r="B312" t="s">
        <v>221</v>
      </c>
      <c r="C312" s="6">
        <v>1.5900000000000001E-2</v>
      </c>
      <c r="D312" s="6">
        <v>2.0199999999999999E-2</v>
      </c>
      <c r="E312" s="6">
        <v>0.11799999999999999</v>
      </c>
      <c r="F312" s="6">
        <v>1.7100000000000001E-2</v>
      </c>
    </row>
    <row r="313" spans="2:6">
      <c r="B313" t="s">
        <v>46</v>
      </c>
      <c r="C313" s="6">
        <v>2.6100000000000002E-2</v>
      </c>
      <c r="D313" s="6">
        <v>2.9399999999999999E-2</v>
      </c>
      <c r="E313" s="6">
        <v>2.1299999999999999E-2</v>
      </c>
      <c r="F313" s="6">
        <v>4.2599999999999999E-2</v>
      </c>
    </row>
    <row r="314" spans="2:6">
      <c r="B314" t="s">
        <v>216</v>
      </c>
      <c r="C314" s="6">
        <v>1.21E-2</v>
      </c>
      <c r="D314" s="6">
        <v>9.4999999999999998E-3</v>
      </c>
      <c r="E314" s="6">
        <v>2.5999999999999999E-3</v>
      </c>
      <c r="F314" s="6">
        <v>3.7000000000000002E-3</v>
      </c>
    </row>
    <row r="315" spans="2:6">
      <c r="B315" t="s">
        <v>209</v>
      </c>
      <c r="C315" s="6">
        <v>4.4000000000000003E-3</v>
      </c>
      <c r="D315" s="6">
        <v>3.7400000000000003E-2</v>
      </c>
      <c r="E315" s="6">
        <v>5.6800000000000003E-2</v>
      </c>
      <c r="F315" s="6">
        <v>0.1537</v>
      </c>
    </row>
    <row r="316" spans="2:6">
      <c r="B316" t="s">
        <v>248</v>
      </c>
      <c r="C316" s="6">
        <v>3.3000000000000002E-2</v>
      </c>
      <c r="D316" s="6">
        <v>3.2599999999999997E-2</v>
      </c>
      <c r="E316" s="6">
        <v>2.5700000000000001E-2</v>
      </c>
      <c r="F316" s="6">
        <v>1.6199999999999999E-2</v>
      </c>
    </row>
    <row r="317" spans="2:6">
      <c r="B317" t="s">
        <v>256</v>
      </c>
      <c r="C317" s="6">
        <v>2.3099999999999999E-2</v>
      </c>
      <c r="D317" s="6">
        <v>3.5799999999999998E-2</v>
      </c>
      <c r="E317" s="6">
        <v>2.2800000000000001E-2</v>
      </c>
      <c r="F317" s="6">
        <v>3.6900000000000002E-2</v>
      </c>
    </row>
    <row r="318" spans="2:6">
      <c r="B318" t="s">
        <v>152</v>
      </c>
      <c r="C318" s="6">
        <v>0.18609999999999999</v>
      </c>
      <c r="D318" s="6">
        <v>1.9E-3</v>
      </c>
      <c r="E318" s="6">
        <v>1.1000000000000001E-3</v>
      </c>
      <c r="F318" s="6">
        <v>1E-4</v>
      </c>
    </row>
    <row r="319" spans="2:6">
      <c r="B319" t="s">
        <v>280</v>
      </c>
      <c r="C319" s="6">
        <v>4.1099999999999998E-2</v>
      </c>
      <c r="D319" s="6">
        <v>7.7600000000000002E-2</v>
      </c>
      <c r="E319" s="6">
        <v>2E-3</v>
      </c>
      <c r="F319" s="6">
        <v>1.4E-3</v>
      </c>
    </row>
    <row r="320" spans="2:6">
      <c r="B320" t="s">
        <v>348</v>
      </c>
      <c r="C320" s="6">
        <v>1.54E-2</v>
      </c>
      <c r="D320" s="6">
        <v>0.13450000000000001</v>
      </c>
      <c r="E320" s="6">
        <v>0.1479</v>
      </c>
      <c r="F320" s="6">
        <v>9.8000000000000004E-2</v>
      </c>
    </row>
    <row r="321" spans="2:6">
      <c r="B321" t="s">
        <v>97</v>
      </c>
      <c r="C321" s="6">
        <v>5.0099999999999999E-2</v>
      </c>
      <c r="D321" s="6">
        <v>3.3000000000000002E-2</v>
      </c>
      <c r="E321" s="6">
        <v>4.58E-2</v>
      </c>
      <c r="F321" s="6">
        <v>5.11E-2</v>
      </c>
    </row>
    <row r="322" spans="2:6">
      <c r="B322" t="s">
        <v>108</v>
      </c>
      <c r="C322" s="6">
        <v>1.5900000000000001E-2</v>
      </c>
      <c r="D322" s="6">
        <v>3.2800000000000003E-2</v>
      </c>
      <c r="E322" s="6">
        <v>9.6199999999999994E-2</v>
      </c>
      <c r="F322" s="6">
        <v>7.7399999999999997E-2</v>
      </c>
    </row>
    <row r="323" spans="2:6">
      <c r="B323" t="s">
        <v>224</v>
      </c>
      <c r="C323" s="6">
        <v>0.1095</v>
      </c>
      <c r="D323" s="6">
        <v>8.3500000000000005E-2</v>
      </c>
      <c r="E323" s="6">
        <v>9.4E-2</v>
      </c>
      <c r="F323" s="6">
        <v>9.5799999999999996E-2</v>
      </c>
    </row>
    <row r="324" spans="2:6">
      <c r="B324" t="s">
        <v>126</v>
      </c>
      <c r="C324" s="6">
        <v>1.89E-2</v>
      </c>
      <c r="D324" s="6">
        <v>5.3100000000000001E-2</v>
      </c>
      <c r="E324" s="6">
        <v>3.4700000000000002E-2</v>
      </c>
      <c r="F324" s="6">
        <v>6.13E-2</v>
      </c>
    </row>
    <row r="325" spans="2:6">
      <c r="B325" t="s">
        <v>93</v>
      </c>
      <c r="C325" s="6">
        <v>1.2999999999999999E-3</v>
      </c>
      <c r="D325" s="6">
        <v>7.7000000000000002E-3</v>
      </c>
      <c r="E325" s="6">
        <v>7.9000000000000008E-3</v>
      </c>
      <c r="F325" s="6">
        <v>1.1999999999999999E-3</v>
      </c>
    </row>
    <row r="326" spans="2:6">
      <c r="B326" t="s">
        <v>128</v>
      </c>
      <c r="C326" s="6">
        <v>0.22339999999999999</v>
      </c>
      <c r="D326" s="6">
        <v>4.9500000000000002E-2</v>
      </c>
      <c r="E326" s="6">
        <v>0.23080000000000001</v>
      </c>
      <c r="F326" s="6">
        <v>0.15509999999999999</v>
      </c>
    </row>
    <row r="327" spans="2:6">
      <c r="B327" t="s">
        <v>99</v>
      </c>
      <c r="C327" s="6">
        <v>0.19239999999999999</v>
      </c>
      <c r="D327" s="6">
        <v>3.95E-2</v>
      </c>
      <c r="E327" s="6">
        <v>9.8599999999999993E-2</v>
      </c>
      <c r="F327" s="6">
        <v>0.17549999999999999</v>
      </c>
    </row>
    <row r="328" spans="2:6">
      <c r="B328" t="s">
        <v>180</v>
      </c>
      <c r="C328" s="6">
        <v>4.8999999999999998E-3</v>
      </c>
      <c r="D328" s="6">
        <v>1.2200000000000001E-2</v>
      </c>
      <c r="E328" s="6">
        <v>1.52E-2</v>
      </c>
      <c r="F328" s="6">
        <v>2.01E-2</v>
      </c>
    </row>
    <row r="329" spans="2:6">
      <c r="B329" t="s">
        <v>125</v>
      </c>
      <c r="C329" s="6">
        <v>2.9499999999999998E-2</v>
      </c>
      <c r="D329" s="6">
        <v>0.12180000000000001</v>
      </c>
      <c r="E329" s="6">
        <v>2.7E-2</v>
      </c>
      <c r="F329" s="6">
        <v>8.7300000000000003E-2</v>
      </c>
    </row>
    <row r="330" spans="2:6">
      <c r="B330" t="s">
        <v>174</v>
      </c>
      <c r="C330" s="6">
        <v>0.34329999999999999</v>
      </c>
      <c r="D330" s="6">
        <v>0.21179999999999999</v>
      </c>
      <c r="E330" s="6">
        <v>0.17469999999999999</v>
      </c>
      <c r="F330" s="6">
        <v>0.36780000000000002</v>
      </c>
    </row>
    <row r="331" spans="2:6">
      <c r="B331" t="s">
        <v>72</v>
      </c>
      <c r="C331" s="6">
        <v>0.1225</v>
      </c>
      <c r="D331" s="6">
        <v>8.3000000000000004E-2</v>
      </c>
      <c r="E331" s="6">
        <v>0.19070000000000001</v>
      </c>
      <c r="F331" s="6">
        <v>0.15790000000000001</v>
      </c>
    </row>
    <row r="332" spans="2:6">
      <c r="B332" t="s">
        <v>366</v>
      </c>
      <c r="C332" s="6">
        <v>1.9199999999999998E-2</v>
      </c>
      <c r="D332" s="6">
        <v>0.1104</v>
      </c>
      <c r="E332" s="6">
        <v>3.4299999999999997E-2</v>
      </c>
      <c r="F332" s="6">
        <v>4.8099999999999997E-2</v>
      </c>
    </row>
    <row r="333" spans="2:6">
      <c r="B333" t="s">
        <v>28</v>
      </c>
      <c r="C333" s="6">
        <v>4.8599999999999997E-2</v>
      </c>
      <c r="D333" s="6">
        <v>4.5900000000000003E-2</v>
      </c>
      <c r="E333" s="6">
        <v>2.3599999999999999E-2</v>
      </c>
      <c r="F333" s="6">
        <v>0.04</v>
      </c>
    </row>
    <row r="334" spans="2:6">
      <c r="B334" t="s">
        <v>228</v>
      </c>
      <c r="C334" s="6">
        <v>2.4500000000000001E-2</v>
      </c>
      <c r="D334" s="6">
        <v>0.1009</v>
      </c>
      <c r="E334" s="6">
        <v>0.1452</v>
      </c>
      <c r="F334" s="6">
        <v>7.6999999999999999E-2</v>
      </c>
    </row>
    <row r="335" spans="2:6">
      <c r="B335" t="s">
        <v>312</v>
      </c>
      <c r="C335" s="6">
        <v>0.21379999999999999</v>
      </c>
      <c r="D335" s="6">
        <v>6.8900000000000003E-2</v>
      </c>
      <c r="E335" s="6">
        <v>4.4200000000000003E-2</v>
      </c>
      <c r="F335" s="6">
        <v>2.76E-2</v>
      </c>
    </row>
    <row r="336" spans="2:6">
      <c r="B336" t="s">
        <v>416</v>
      </c>
      <c r="C336" s="6">
        <v>2.5700000000000001E-2</v>
      </c>
      <c r="D336" s="6">
        <v>4.58E-2</v>
      </c>
      <c r="E336" s="6">
        <v>4.6300000000000001E-2</v>
      </c>
      <c r="F336" s="6">
        <v>4.82E-2</v>
      </c>
    </row>
    <row r="337" spans="2:6">
      <c r="B337" t="s">
        <v>139</v>
      </c>
      <c r="C337" s="6">
        <v>3.3099999999999997E-2</v>
      </c>
      <c r="D337" s="6">
        <v>4.4499999999999998E-2</v>
      </c>
      <c r="E337" s="6">
        <v>6.7100000000000007E-2</v>
      </c>
      <c r="F337" s="6">
        <v>3.9699999999999999E-2</v>
      </c>
    </row>
    <row r="338" spans="2:6">
      <c r="B338" t="s">
        <v>55</v>
      </c>
      <c r="C338" s="6">
        <v>0.49490000000000001</v>
      </c>
      <c r="D338" s="6">
        <v>8.1699999999999995E-2</v>
      </c>
      <c r="E338" s="6">
        <v>5.5199999999999999E-2</v>
      </c>
      <c r="F338" s="6">
        <v>5.7700000000000001E-2</v>
      </c>
    </row>
    <row r="339" spans="2:6">
      <c r="B339" t="s">
        <v>69</v>
      </c>
      <c r="C339" s="6">
        <v>0.123</v>
      </c>
      <c r="D339" s="6">
        <v>7.4899999999999994E-2</v>
      </c>
      <c r="E339" s="6">
        <v>3.5900000000000001E-2</v>
      </c>
      <c r="F339" s="6">
        <v>2.5100000000000001E-2</v>
      </c>
    </row>
    <row r="340" spans="2:6">
      <c r="B340" t="s">
        <v>11</v>
      </c>
      <c r="C340" s="6">
        <v>3.8999999999999998E-3</v>
      </c>
      <c r="D340" s="6">
        <v>5.0000000000000001E-4</v>
      </c>
      <c r="E340" s="6">
        <v>8.0000000000000004E-4</v>
      </c>
      <c r="F340" s="6">
        <v>5.9999999999999995E-4</v>
      </c>
    </row>
    <row r="341" spans="2:6">
      <c r="B341" t="s">
        <v>263</v>
      </c>
      <c r="C341" s="6">
        <v>3.2399999999999998E-2</v>
      </c>
      <c r="D341" s="6">
        <v>1.7500000000000002E-2</v>
      </c>
      <c r="E341" s="6">
        <v>2.4199999999999999E-2</v>
      </c>
      <c r="F341" s="6">
        <v>5.7500000000000002E-2</v>
      </c>
    </row>
    <row r="342" spans="2:6">
      <c r="B342" t="s">
        <v>425</v>
      </c>
      <c r="C342" s="6">
        <v>0.1081</v>
      </c>
      <c r="D342" s="6">
        <v>7.2800000000000004E-2</v>
      </c>
      <c r="E342" s="6">
        <v>1.11E-2</v>
      </c>
      <c r="F342" s="6">
        <v>4.1000000000000003E-3</v>
      </c>
    </row>
    <row r="343" spans="2:6">
      <c r="B343" t="s">
        <v>92</v>
      </c>
      <c r="C343" s="6">
        <v>8.6E-3</v>
      </c>
      <c r="D343" s="6">
        <v>1E-4</v>
      </c>
      <c r="E343" s="6">
        <v>1E-4</v>
      </c>
      <c r="F343" s="6">
        <v>2.0000000000000001E-4</v>
      </c>
    </row>
    <row r="344" spans="2:6">
      <c r="B344" t="s">
        <v>150</v>
      </c>
      <c r="C344" s="6">
        <v>0.11219999999999999</v>
      </c>
      <c r="D344" s="6">
        <v>0.48449999999999999</v>
      </c>
      <c r="E344" s="6">
        <v>0.1072</v>
      </c>
      <c r="F344" s="6">
        <v>6.6600000000000006E-2</v>
      </c>
    </row>
    <row r="345" spans="2:6">
      <c r="B345" t="s">
        <v>306</v>
      </c>
      <c r="C345" s="6">
        <v>4.5699999999999998E-2</v>
      </c>
      <c r="D345" s="6">
        <v>4.7500000000000001E-2</v>
      </c>
      <c r="E345" s="6">
        <v>3.1600000000000003E-2</v>
      </c>
      <c r="F345" s="6">
        <v>4.5100000000000001E-2</v>
      </c>
    </row>
    <row r="346" spans="2:6">
      <c r="B346" t="s">
        <v>837</v>
      </c>
      <c r="C346" s="6">
        <v>3.9800000000000002E-2</v>
      </c>
      <c r="D346" s="6">
        <v>3.7600000000000001E-2</v>
      </c>
      <c r="E346" s="6">
        <v>5.4600000000000003E-2</v>
      </c>
      <c r="F346" s="6">
        <v>4.8300000000000003E-2</v>
      </c>
    </row>
    <row r="347" spans="2:6">
      <c r="B347" t="s">
        <v>21</v>
      </c>
      <c r="C347" s="6">
        <v>2.0400000000000001E-2</v>
      </c>
      <c r="D347" s="6">
        <v>6.2E-2</v>
      </c>
      <c r="E347" s="6">
        <v>5.3499999999999999E-2</v>
      </c>
      <c r="F347" s="6">
        <v>5.9499999999999997E-2</v>
      </c>
    </row>
    <row r="348" spans="2:6">
      <c r="B348" t="s">
        <v>54</v>
      </c>
      <c r="C348" s="6">
        <v>0.14699999999999999</v>
      </c>
      <c r="D348" s="6">
        <v>0.12740000000000001</v>
      </c>
      <c r="E348" s="6">
        <v>5.4899999999999997E-2</v>
      </c>
      <c r="F348" s="6">
        <v>0.1222</v>
      </c>
    </row>
    <row r="349" spans="2:6">
      <c r="B349" t="s">
        <v>186</v>
      </c>
      <c r="C349" s="6">
        <v>2.98E-2</v>
      </c>
      <c r="D349" s="6">
        <v>2.18E-2</v>
      </c>
      <c r="E349" s="6">
        <v>2.07E-2</v>
      </c>
      <c r="F349" s="6">
        <v>2.8199999999999999E-2</v>
      </c>
    </row>
    <row r="350" spans="2:6">
      <c r="B350" t="s">
        <v>390</v>
      </c>
      <c r="C350" s="6">
        <v>2.7799999999999998E-2</v>
      </c>
      <c r="D350" s="6">
        <v>2.3699999999999999E-2</v>
      </c>
      <c r="E350" s="6">
        <v>1.3299999999999999E-2</v>
      </c>
      <c r="F350" s="6">
        <v>4.58E-2</v>
      </c>
    </row>
    <row r="351" spans="2:6">
      <c r="B351" t="s">
        <v>330</v>
      </c>
      <c r="C351" s="6">
        <v>4.9599999999999998E-2</v>
      </c>
      <c r="D351" s="6">
        <v>1.4200000000000001E-2</v>
      </c>
      <c r="E351" s="6">
        <v>2.46E-2</v>
      </c>
      <c r="F351" s="6">
        <v>1.4E-2</v>
      </c>
    </row>
    <row r="352" spans="2:6">
      <c r="B352" t="s">
        <v>246</v>
      </c>
      <c r="C352" s="6">
        <v>2.86E-2</v>
      </c>
      <c r="D352" s="6">
        <v>6.9000000000000006E-2</v>
      </c>
      <c r="E352" s="6">
        <v>3.15E-2</v>
      </c>
      <c r="F352" s="6">
        <v>3.2500000000000001E-2</v>
      </c>
    </row>
    <row r="353" spans="2:6">
      <c r="B353" t="s">
        <v>0</v>
      </c>
      <c r="C353" s="6">
        <v>9.6500000000000002E-2</v>
      </c>
      <c r="D353" s="6">
        <v>2.24E-2</v>
      </c>
      <c r="E353" s="6">
        <v>2.9100000000000001E-2</v>
      </c>
      <c r="F353" s="6">
        <v>3.44E-2</v>
      </c>
    </row>
    <row r="354" spans="2:6">
      <c r="B354" t="s">
        <v>834</v>
      </c>
      <c r="C354" s="6">
        <v>0.1086</v>
      </c>
      <c r="D354" s="6">
        <v>1.6999999999999999E-3</v>
      </c>
      <c r="E354" s="6">
        <v>2.0999999999999999E-3</v>
      </c>
      <c r="F354" s="6">
        <v>2.3999999999999998E-3</v>
      </c>
    </row>
    <row r="355" spans="2:6">
      <c r="B355" t="s">
        <v>146</v>
      </c>
      <c r="C355" s="6">
        <v>2.7000000000000001E-3</v>
      </c>
      <c r="D355" s="6">
        <v>1.9800000000000002E-2</v>
      </c>
      <c r="E355" s="6">
        <v>6.54E-2</v>
      </c>
      <c r="F355" s="6">
        <v>4.9299999999999997E-2</v>
      </c>
    </row>
    <row r="356" spans="2:6">
      <c r="B356" t="s">
        <v>168</v>
      </c>
      <c r="C356" s="6">
        <v>0.1268</v>
      </c>
      <c r="D356" s="6">
        <v>7.8899999999999998E-2</v>
      </c>
      <c r="E356" s="6">
        <v>3.2000000000000001E-2</v>
      </c>
      <c r="F356" s="6">
        <v>5.4399999999999997E-2</v>
      </c>
    </row>
    <row r="357" spans="2:6">
      <c r="B357" t="s">
        <v>405</v>
      </c>
      <c r="C357" s="6">
        <v>3.2599999999999997E-2</v>
      </c>
      <c r="D357" s="6">
        <v>6.8099999999999994E-2</v>
      </c>
      <c r="E357" s="6">
        <v>4.8000000000000001E-2</v>
      </c>
      <c r="F357" s="6">
        <v>0.10630000000000001</v>
      </c>
    </row>
    <row r="358" spans="2:6">
      <c r="B358" t="s">
        <v>101</v>
      </c>
      <c r="C358" s="6">
        <v>0.04</v>
      </c>
      <c r="D358" s="6">
        <v>2.2200000000000001E-2</v>
      </c>
      <c r="E358" s="6">
        <v>1.4200000000000001E-2</v>
      </c>
      <c r="F358" s="6">
        <v>2.2700000000000001E-2</v>
      </c>
    </row>
    <row r="359" spans="2:6">
      <c r="B359" t="s">
        <v>258</v>
      </c>
      <c r="C359" s="6">
        <v>1.0699999999999999E-2</v>
      </c>
      <c r="D359" s="6">
        <v>1.5E-3</v>
      </c>
      <c r="E359" s="6">
        <v>2.8E-3</v>
      </c>
      <c r="F359" s="6">
        <v>2.3E-3</v>
      </c>
    </row>
    <row r="360" spans="2:6">
      <c r="B360" t="s">
        <v>199</v>
      </c>
      <c r="C360" s="6">
        <v>2.76E-2</v>
      </c>
      <c r="D360" s="6">
        <v>2.92E-2</v>
      </c>
      <c r="E360" s="6">
        <v>1.6299999999999999E-2</v>
      </c>
      <c r="F360" s="6">
        <v>2.29E-2</v>
      </c>
    </row>
    <row r="361" spans="2:6">
      <c r="B361" t="s">
        <v>133</v>
      </c>
      <c r="C361" s="6">
        <v>4.4299999999999999E-2</v>
      </c>
      <c r="D361" s="6">
        <v>5.5E-2</v>
      </c>
      <c r="E361" s="6">
        <v>9.6199999999999994E-2</v>
      </c>
      <c r="F361" s="6">
        <v>6.4899999999999999E-2</v>
      </c>
    </row>
    <row r="362" spans="2:6">
      <c r="B362" t="s">
        <v>250</v>
      </c>
      <c r="C362" s="6">
        <v>1.55E-2</v>
      </c>
      <c r="D362" s="6">
        <v>2.0799999999999999E-2</v>
      </c>
      <c r="E362" s="6">
        <v>9.4999999999999998E-3</v>
      </c>
      <c r="F362" s="6">
        <v>1.0699999999999999E-2</v>
      </c>
    </row>
    <row r="363" spans="2:6">
      <c r="B363" t="s">
        <v>806</v>
      </c>
      <c r="C363" s="6">
        <v>3.1800000000000002E-2</v>
      </c>
      <c r="D363" s="6">
        <v>3.1699999999999999E-2</v>
      </c>
      <c r="E363" s="6">
        <v>4.9099999999999998E-2</v>
      </c>
      <c r="F363" s="6">
        <v>8.9399999999999993E-2</v>
      </c>
    </row>
    <row r="364" spans="2:6">
      <c r="B364" t="s">
        <v>40</v>
      </c>
      <c r="C364" s="6">
        <v>2.8299999999999999E-2</v>
      </c>
      <c r="D364" s="6">
        <v>4.4499999999999998E-2</v>
      </c>
      <c r="E364" s="6">
        <v>1.5599999999999999E-2</v>
      </c>
      <c r="F364" s="6">
        <v>1.06E-2</v>
      </c>
    </row>
    <row r="365" spans="2:6">
      <c r="B365" t="s">
        <v>226</v>
      </c>
      <c r="C365" s="6">
        <v>7.1099999999999997E-2</v>
      </c>
      <c r="D365" s="6">
        <v>3.5999999999999997E-2</v>
      </c>
      <c r="E365" s="6">
        <v>6.4999999999999997E-3</v>
      </c>
      <c r="F365" s="6">
        <v>6.7000000000000002E-3</v>
      </c>
    </row>
    <row r="366" spans="2:6">
      <c r="B366" t="s">
        <v>172</v>
      </c>
      <c r="C366" s="6">
        <v>3.0000000000000001E-3</v>
      </c>
      <c r="D366" s="6">
        <v>3.2000000000000002E-3</v>
      </c>
      <c r="E366" s="6">
        <v>5.7000000000000002E-3</v>
      </c>
      <c r="F366" s="6">
        <v>2E-3</v>
      </c>
    </row>
    <row r="367" spans="2:6">
      <c r="B367" t="s">
        <v>833</v>
      </c>
      <c r="C367" s="6">
        <v>0.21299999999999999</v>
      </c>
      <c r="D367" s="6">
        <v>1.44E-2</v>
      </c>
      <c r="E367" s="6">
        <v>9.1999999999999998E-3</v>
      </c>
      <c r="F367" s="6">
        <v>4.7999999999999996E-3</v>
      </c>
    </row>
    <row r="368" spans="2:6">
      <c r="B368" t="s">
        <v>294</v>
      </c>
      <c r="C368" s="6">
        <v>4.3999999999999997E-2</v>
      </c>
      <c r="D368" s="6">
        <v>0.04</v>
      </c>
      <c r="E368" s="6">
        <v>2.6800000000000001E-2</v>
      </c>
      <c r="F368" s="6">
        <v>1.61E-2</v>
      </c>
    </row>
    <row r="369" spans="2:6">
      <c r="B369" t="s">
        <v>807</v>
      </c>
      <c r="C369" s="6">
        <v>0.15490000000000001</v>
      </c>
      <c r="D369" s="6">
        <v>0.1734</v>
      </c>
      <c r="E369" s="6">
        <v>0.1575</v>
      </c>
      <c r="F369" s="6">
        <v>0.1648</v>
      </c>
    </row>
    <row r="370" spans="2:6">
      <c r="B370" t="s">
        <v>60</v>
      </c>
      <c r="C370" s="6">
        <v>3.61E-2</v>
      </c>
      <c r="D370" s="6">
        <v>0.39350000000000002</v>
      </c>
      <c r="E370" s="6">
        <v>7.5499999999999998E-2</v>
      </c>
      <c r="F370" s="6">
        <v>2.07E-2</v>
      </c>
    </row>
    <row r="371" spans="2:6">
      <c r="B371" t="s">
        <v>253</v>
      </c>
      <c r="C371" s="6">
        <v>5.0000000000000001E-4</v>
      </c>
      <c r="D371" s="6">
        <v>1.6999999999999999E-3</v>
      </c>
      <c r="E371" s="6">
        <v>2.5000000000000001E-3</v>
      </c>
      <c r="F371" s="6">
        <v>7.1999999999999998E-3</v>
      </c>
    </row>
    <row r="372" spans="2:6">
      <c r="B372" t="s">
        <v>830</v>
      </c>
      <c r="C372" s="6">
        <v>1.0699999999999999E-2</v>
      </c>
      <c r="D372" s="6">
        <v>1.41E-2</v>
      </c>
      <c r="E372" s="6">
        <v>3.5000000000000003E-2</v>
      </c>
      <c r="F372" s="6">
        <v>7.1999999999999998E-3</v>
      </c>
    </row>
    <row r="373" spans="2:6">
      <c r="B373" t="s">
        <v>189</v>
      </c>
      <c r="C373" s="6">
        <v>6.0299999999999999E-2</v>
      </c>
      <c r="D373" s="6">
        <v>5.5500000000000001E-2</v>
      </c>
      <c r="E373" s="6">
        <v>6.0900000000000003E-2</v>
      </c>
      <c r="F373" s="6">
        <v>4.0500000000000001E-2</v>
      </c>
    </row>
    <row r="374" spans="2:6">
      <c r="B374" t="s">
        <v>326</v>
      </c>
      <c r="C374" s="6">
        <v>2.2200000000000001E-2</v>
      </c>
      <c r="D374" s="6">
        <v>2.2800000000000001E-2</v>
      </c>
      <c r="E374" s="6">
        <v>7.6E-3</v>
      </c>
      <c r="F374" s="6">
        <v>2.1899999999999999E-2</v>
      </c>
    </row>
    <row r="375" spans="2:6">
      <c r="B375" t="s">
        <v>287</v>
      </c>
      <c r="C375" s="6">
        <v>1.2999999999999999E-3</v>
      </c>
      <c r="D375" s="6">
        <v>3.0000000000000001E-3</v>
      </c>
      <c r="E375" s="6">
        <v>3.3999999999999998E-3</v>
      </c>
      <c r="F375" s="6">
        <v>4.8999999999999998E-3</v>
      </c>
    </row>
    <row r="376" spans="2:6">
      <c r="B376" t="s">
        <v>51</v>
      </c>
      <c r="C376" s="6">
        <v>5.6800000000000003E-2</v>
      </c>
      <c r="D376" s="6">
        <v>7.4899999999999994E-2</v>
      </c>
      <c r="E376" s="6">
        <v>9.2600000000000002E-2</v>
      </c>
      <c r="F376" s="6">
        <v>8.43E-2</v>
      </c>
    </row>
    <row r="377" spans="2:6">
      <c r="B377" t="s">
        <v>836</v>
      </c>
      <c r="C377" s="6">
        <v>2.8999999999999998E-3</v>
      </c>
      <c r="D377" s="6">
        <v>2.8999999999999998E-3</v>
      </c>
      <c r="E377" s="6">
        <v>1.1999999999999999E-3</v>
      </c>
      <c r="F377" s="6">
        <v>1.8E-3</v>
      </c>
    </row>
    <row r="378" spans="2:6">
      <c r="B378" t="s">
        <v>327</v>
      </c>
      <c r="C378" s="6">
        <v>7.4000000000000003E-3</v>
      </c>
      <c r="D378" s="6">
        <v>1.6299999999999999E-2</v>
      </c>
      <c r="E378" s="6">
        <v>1.1900000000000001E-2</v>
      </c>
      <c r="F378" s="6">
        <v>7.9000000000000008E-3</v>
      </c>
    </row>
    <row r="379" spans="2:6">
      <c r="B379" t="s">
        <v>141</v>
      </c>
      <c r="C379" s="6">
        <v>1E-3</v>
      </c>
      <c r="D379" s="6">
        <v>4.7699999999999999E-2</v>
      </c>
      <c r="E379" s="6">
        <v>3.1099999999999999E-2</v>
      </c>
      <c r="F379" s="6">
        <v>0.03</v>
      </c>
    </row>
    <row r="380" spans="2:6">
      <c r="B380" t="s">
        <v>249</v>
      </c>
      <c r="C380" s="6">
        <v>3.1099999999999999E-2</v>
      </c>
      <c r="D380" s="6">
        <v>2.4899999999999999E-2</v>
      </c>
      <c r="E380" s="6">
        <v>3.1300000000000001E-2</v>
      </c>
      <c r="F380" s="6">
        <v>5.8500000000000003E-2</v>
      </c>
    </row>
    <row r="381" spans="2:6">
      <c r="B381" t="s">
        <v>147</v>
      </c>
      <c r="C381" s="6">
        <v>1.0200000000000001E-2</v>
      </c>
      <c r="D381" s="6">
        <v>1.2999999999999999E-2</v>
      </c>
      <c r="E381" s="6">
        <v>7.1000000000000004E-3</v>
      </c>
      <c r="F381" s="6">
        <v>8.6E-3</v>
      </c>
    </row>
    <row r="382" spans="2:6">
      <c r="B382" t="s">
        <v>472</v>
      </c>
      <c r="C382" s="6">
        <v>3.95E-2</v>
      </c>
      <c r="D382" s="6">
        <v>2.7099999999999999E-2</v>
      </c>
      <c r="E382" s="6">
        <v>4.0000000000000002E-4</v>
      </c>
      <c r="F382" s="6">
        <v>6.8999999999999999E-3</v>
      </c>
    </row>
    <row r="383" spans="2:6">
      <c r="B383" t="s">
        <v>53</v>
      </c>
      <c r="C383" s="6">
        <v>1.35E-2</v>
      </c>
      <c r="D383" s="6">
        <v>1.15E-2</v>
      </c>
      <c r="E383" s="6">
        <v>6.7599999999999993E-2</v>
      </c>
      <c r="F383" s="6">
        <v>6.7799999999999999E-2</v>
      </c>
    </row>
    <row r="384" spans="2:6">
      <c r="B384" t="s">
        <v>318</v>
      </c>
      <c r="C384" s="6">
        <v>9.6299999999999997E-2</v>
      </c>
      <c r="D384" s="6">
        <v>5.1000000000000004E-3</v>
      </c>
      <c r="E384" s="6">
        <v>0.02</v>
      </c>
      <c r="F384" s="6">
        <v>5.1999999999999998E-3</v>
      </c>
    </row>
    <row r="385" spans="2:6">
      <c r="B385" t="s">
        <v>296</v>
      </c>
      <c r="C385" s="6">
        <v>2.5700000000000001E-2</v>
      </c>
      <c r="D385" s="6">
        <v>2.1100000000000001E-2</v>
      </c>
      <c r="E385" s="6">
        <v>3.6499999999999998E-2</v>
      </c>
      <c r="F385" s="6">
        <v>7.6999999999999999E-2</v>
      </c>
    </row>
    <row r="386" spans="2:6">
      <c r="B386" t="s">
        <v>300</v>
      </c>
      <c r="C386" s="6">
        <v>5.67E-2</v>
      </c>
      <c r="D386" s="6">
        <v>3.2500000000000001E-2</v>
      </c>
      <c r="E386" s="6">
        <v>3.2899999999999999E-2</v>
      </c>
      <c r="F386" s="6">
        <v>2.1899999999999999E-2</v>
      </c>
    </row>
    <row r="387" spans="2:6">
      <c r="B387" t="s">
        <v>316</v>
      </c>
      <c r="C387" s="6">
        <v>1.83E-2</v>
      </c>
      <c r="D387" s="6">
        <v>4.7199999999999999E-2</v>
      </c>
      <c r="E387" s="6">
        <v>4.5699999999999998E-2</v>
      </c>
      <c r="F387" s="6">
        <v>7.1499999999999994E-2</v>
      </c>
    </row>
    <row r="388" spans="2:6">
      <c r="B388" t="s">
        <v>502</v>
      </c>
      <c r="C388" s="6">
        <v>6.1000000000000004E-3</v>
      </c>
      <c r="D388" s="6">
        <v>7.8600000000000003E-2</v>
      </c>
      <c r="E388" s="6">
        <v>1.6999999999999999E-3</v>
      </c>
      <c r="F388" s="6">
        <v>6.2199999999999998E-2</v>
      </c>
    </row>
    <row r="389" spans="2:6">
      <c r="B389" t="s">
        <v>107</v>
      </c>
      <c r="C389" s="6">
        <v>4.7500000000000001E-2</v>
      </c>
      <c r="D389" s="6">
        <v>0.12659999999999999</v>
      </c>
      <c r="E389" s="6">
        <v>2.93E-2</v>
      </c>
      <c r="F389" s="6">
        <v>8.43E-2</v>
      </c>
    </row>
    <row r="390" spans="2:6">
      <c r="B390" t="s">
        <v>486</v>
      </c>
      <c r="C390" s="6">
        <v>2.0299999999999999E-2</v>
      </c>
      <c r="D390" s="6">
        <v>9.0499999999999997E-2</v>
      </c>
      <c r="E390" s="6">
        <v>0.1056</v>
      </c>
      <c r="F390" s="6">
        <v>4.9399999999999999E-2</v>
      </c>
    </row>
    <row r="391" spans="2:6">
      <c r="B391" t="s">
        <v>315</v>
      </c>
      <c r="C391" s="6">
        <v>2.41E-2</v>
      </c>
      <c r="D391" s="6">
        <v>9.4E-2</v>
      </c>
      <c r="E391" s="6">
        <v>3.1E-2</v>
      </c>
      <c r="F391" s="6">
        <v>2.8899999999999999E-2</v>
      </c>
    </row>
    <row r="392" spans="2:6">
      <c r="B392" t="s">
        <v>57</v>
      </c>
      <c r="C392" s="6">
        <v>0.1429</v>
      </c>
      <c r="D392" s="6">
        <v>0.14460000000000001</v>
      </c>
      <c r="E392" s="6">
        <v>0.17019999999999999</v>
      </c>
      <c r="F392" s="6">
        <v>7.51E-2</v>
      </c>
    </row>
    <row r="393" spans="2:6">
      <c r="B393" t="s">
        <v>183</v>
      </c>
      <c r="C393" s="6">
        <v>3.9399999999999998E-2</v>
      </c>
      <c r="D393" s="6">
        <v>2.1600000000000001E-2</v>
      </c>
      <c r="E393" s="6">
        <v>4.3099999999999999E-2</v>
      </c>
      <c r="F393" s="6">
        <v>2.3199999999999998E-2</v>
      </c>
    </row>
    <row r="394" spans="2:6">
      <c r="B394" t="s">
        <v>175</v>
      </c>
      <c r="C394" s="6">
        <v>1.0699999999999999E-2</v>
      </c>
      <c r="D394" s="6">
        <v>7.4399999999999994E-2</v>
      </c>
      <c r="E394" s="6">
        <v>6.25E-2</v>
      </c>
      <c r="F394" s="6">
        <v>0.04</v>
      </c>
    </row>
    <row r="395" spans="2:6">
      <c r="B395" t="s">
        <v>274</v>
      </c>
      <c r="C395" s="6">
        <v>1.2800000000000001E-2</v>
      </c>
      <c r="D395" s="6">
        <v>1.4E-2</v>
      </c>
      <c r="E395" s="6">
        <v>7.7000000000000002E-3</v>
      </c>
      <c r="F395" s="6">
        <v>1.03E-2</v>
      </c>
    </row>
    <row r="396" spans="2:6">
      <c r="B396" t="s">
        <v>45</v>
      </c>
      <c r="C396" s="6">
        <v>0.1101</v>
      </c>
      <c r="D396" s="6">
        <v>9.01E-2</v>
      </c>
      <c r="E396" s="6">
        <v>5.0900000000000001E-2</v>
      </c>
      <c r="F396" s="6">
        <v>7.0699999999999999E-2</v>
      </c>
    </row>
    <row r="397" spans="2:6">
      <c r="B397" t="s">
        <v>104</v>
      </c>
      <c r="C397" s="6">
        <v>4.2700000000000002E-2</v>
      </c>
      <c r="D397" s="6">
        <v>9.1300000000000006E-2</v>
      </c>
      <c r="E397" s="6">
        <v>0.1052</v>
      </c>
      <c r="F397" s="6">
        <v>8.4000000000000005E-2</v>
      </c>
    </row>
    <row r="398" spans="2:6">
      <c r="B398" t="s">
        <v>36</v>
      </c>
      <c r="C398" s="6">
        <v>3.1099999999999999E-2</v>
      </c>
      <c r="D398" s="6">
        <v>3.3799999999999997E-2</v>
      </c>
      <c r="E398" s="6">
        <v>3.8199999999999998E-2</v>
      </c>
      <c r="F398" s="6">
        <v>7.5300000000000006E-2</v>
      </c>
    </row>
    <row r="399" spans="2:6">
      <c r="B399" t="s">
        <v>819</v>
      </c>
      <c r="C399" s="6">
        <v>1.9599999999999999E-2</v>
      </c>
      <c r="D399" s="6">
        <v>1.4999999999999999E-2</v>
      </c>
      <c r="E399" s="6">
        <v>1.24E-2</v>
      </c>
      <c r="F399" s="6">
        <v>6.1999999999999998E-3</v>
      </c>
    </row>
    <row r="400" spans="2:6">
      <c r="B400" t="s">
        <v>391</v>
      </c>
      <c r="C400" s="6">
        <v>2.8E-3</v>
      </c>
      <c r="D400" s="6">
        <v>6.3700000000000007E-2</v>
      </c>
      <c r="E400" s="6">
        <v>2.0000000000000001E-4</v>
      </c>
      <c r="F400" s="6">
        <v>7.0599999999999996E-2</v>
      </c>
    </row>
    <row r="401" spans="2:6">
      <c r="B401" t="s">
        <v>323</v>
      </c>
      <c r="C401" s="6">
        <v>2.3900000000000001E-2</v>
      </c>
      <c r="D401" s="6">
        <v>2.2200000000000001E-2</v>
      </c>
      <c r="E401" s="6">
        <v>6.8900000000000003E-2</v>
      </c>
      <c r="F401" s="6">
        <v>6.2300000000000001E-2</v>
      </c>
    </row>
    <row r="402" spans="2:6">
      <c r="B402" t="s">
        <v>18</v>
      </c>
      <c r="C402" s="6">
        <v>4.4600000000000001E-2</v>
      </c>
      <c r="D402" s="6">
        <v>9.2100000000000001E-2</v>
      </c>
      <c r="E402" s="6">
        <v>9.0899999999999995E-2</v>
      </c>
      <c r="F402" s="6">
        <v>8.4400000000000003E-2</v>
      </c>
    </row>
    <row r="403" spans="2:6">
      <c r="B403" t="s">
        <v>59</v>
      </c>
      <c r="C403" s="6">
        <v>1.3299999999999999E-2</v>
      </c>
      <c r="D403" s="6">
        <v>2.8299999999999999E-2</v>
      </c>
      <c r="E403" s="6">
        <v>2.6700000000000002E-2</v>
      </c>
      <c r="F403" s="6">
        <v>2.2200000000000001E-2</v>
      </c>
    </row>
    <row r="404" spans="2:6">
      <c r="B404" t="s">
        <v>91</v>
      </c>
      <c r="C404" s="6">
        <v>5.4000000000000003E-3</v>
      </c>
      <c r="D404" s="6">
        <v>5.7000000000000002E-2</v>
      </c>
      <c r="E404" s="6">
        <v>0.21179999999999999</v>
      </c>
      <c r="F404" s="6">
        <v>7.1199999999999999E-2</v>
      </c>
    </row>
    <row r="405" spans="2:6">
      <c r="B405" t="s">
        <v>194</v>
      </c>
      <c r="C405" s="6">
        <v>7.3400000000000007E-2</v>
      </c>
      <c r="D405" s="6">
        <v>4.7699999999999999E-2</v>
      </c>
      <c r="E405" s="6">
        <v>1.41E-2</v>
      </c>
      <c r="F405" s="6">
        <v>2.8199999999999999E-2</v>
      </c>
    </row>
    <row r="406" spans="2:6">
      <c r="B406" t="s">
        <v>490</v>
      </c>
      <c r="C406" s="6">
        <v>7.0400000000000004E-2</v>
      </c>
      <c r="D406" s="6">
        <v>9.7999999999999997E-3</v>
      </c>
      <c r="E406" s="6">
        <v>7.9000000000000008E-3</v>
      </c>
      <c r="F406" s="6">
        <v>1.3899999999999999E-2</v>
      </c>
    </row>
    <row r="407" spans="2:6">
      <c r="B407" t="s">
        <v>89</v>
      </c>
      <c r="C407" s="6">
        <v>0.10580000000000001</v>
      </c>
      <c r="D407" s="6">
        <v>8.5300000000000001E-2</v>
      </c>
      <c r="E407" s="6">
        <v>5.5199999999999999E-2</v>
      </c>
      <c r="F407" s="6">
        <v>4.07E-2</v>
      </c>
    </row>
    <row r="408" spans="2:6">
      <c r="B408" t="s">
        <v>41</v>
      </c>
      <c r="C408" s="6">
        <v>2.1100000000000001E-2</v>
      </c>
      <c r="D408" s="6">
        <v>2.9100000000000001E-2</v>
      </c>
      <c r="E408" s="6">
        <v>4.5699999999999998E-2</v>
      </c>
      <c r="F408" s="6">
        <v>3.6400000000000002E-2</v>
      </c>
    </row>
    <row r="409" spans="2:6">
      <c r="B409" t="s">
        <v>169</v>
      </c>
      <c r="C409" s="6">
        <v>1.18E-2</v>
      </c>
      <c r="D409" s="6">
        <v>1.61E-2</v>
      </c>
      <c r="E409" s="6">
        <v>0.01</v>
      </c>
      <c r="F409" s="6">
        <v>1.4800000000000001E-2</v>
      </c>
    </row>
    <row r="410" spans="2:6">
      <c r="B410" t="s">
        <v>131</v>
      </c>
      <c r="C410" s="6">
        <v>1.21E-2</v>
      </c>
      <c r="D410" s="6">
        <v>1.37E-2</v>
      </c>
      <c r="E410" s="6">
        <v>9.7000000000000003E-3</v>
      </c>
      <c r="F410" s="6">
        <v>8.0000000000000002E-3</v>
      </c>
    </row>
    <row r="411" spans="2:6">
      <c r="B411" t="s">
        <v>245</v>
      </c>
      <c r="C411" s="6">
        <v>3.9100000000000003E-2</v>
      </c>
      <c r="D411" s="6">
        <v>2.7300000000000001E-2</v>
      </c>
      <c r="E411" s="6">
        <v>4.4900000000000002E-2</v>
      </c>
      <c r="F411" s="6">
        <v>5.0799999999999998E-2</v>
      </c>
    </row>
    <row r="412" spans="2:6">
      <c r="B412" t="s">
        <v>814</v>
      </c>
      <c r="C412" s="6">
        <v>9.8199999999999996E-2</v>
      </c>
      <c r="D412" s="6">
        <v>0.12039999999999999</v>
      </c>
      <c r="E412" s="6">
        <v>0.1101</v>
      </c>
      <c r="F412" s="6">
        <v>0.1512</v>
      </c>
    </row>
    <row r="413" spans="2:6">
      <c r="B413" t="s">
        <v>321</v>
      </c>
      <c r="C413" s="6">
        <v>1.4E-3</v>
      </c>
      <c r="D413" s="6">
        <v>2E-3</v>
      </c>
      <c r="E413" s="6">
        <v>1.8599999999999998E-2</v>
      </c>
      <c r="F413" s="6">
        <v>3.3999999999999998E-3</v>
      </c>
    </row>
    <row r="414" spans="2:6">
      <c r="B414" t="s">
        <v>238</v>
      </c>
      <c r="C414" s="6">
        <v>3.0999999999999999E-3</v>
      </c>
      <c r="D414" s="6">
        <v>1.66E-2</v>
      </c>
      <c r="E414" s="6">
        <v>4.6399999999999997E-2</v>
      </c>
      <c r="F414" s="6">
        <v>3.2599999999999997E-2</v>
      </c>
    </row>
  </sheetData>
  <sortState ref="B6:F414">
    <sortCondition ref="B6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4"/>
  <sheetViews>
    <sheetView topLeftCell="A456" workbookViewId="0">
      <selection activeCell="F360" sqref="F360"/>
    </sheetView>
  </sheetViews>
  <sheetFormatPr defaultRowHeight="15"/>
  <cols>
    <col min="2" max="2" width="37.7109375" bestFit="1" customWidth="1"/>
  </cols>
  <sheetData>
    <row r="5" spans="2:6">
      <c r="B5" t="s">
        <v>4505</v>
      </c>
      <c r="C5" t="s">
        <v>4506</v>
      </c>
      <c r="D5" t="s">
        <v>4508</v>
      </c>
      <c r="E5" t="s">
        <v>4507</v>
      </c>
      <c r="F5" t="s">
        <v>4512</v>
      </c>
    </row>
    <row r="7" spans="2:6">
      <c r="B7" t="s">
        <v>409</v>
      </c>
      <c r="C7" s="6">
        <v>0.4516</v>
      </c>
      <c r="D7" s="6">
        <v>0.45300000000000001</v>
      </c>
      <c r="E7" s="6">
        <v>0.42449999999999999</v>
      </c>
      <c r="F7" s="6">
        <v>0.45689999999999997</v>
      </c>
    </row>
    <row r="8" spans="2:6">
      <c r="B8" t="s">
        <v>23</v>
      </c>
      <c r="C8" s="6">
        <v>7.1000000000000004E-3</v>
      </c>
      <c r="D8" s="6">
        <v>1.4E-3</v>
      </c>
      <c r="E8" s="6">
        <v>3.82E-3</v>
      </c>
      <c r="F8" s="6">
        <v>2.1600000000000001E-2</v>
      </c>
    </row>
    <row r="9" spans="2:6">
      <c r="B9" t="s">
        <v>137</v>
      </c>
      <c r="C9" s="6">
        <v>0.10249999999999999</v>
      </c>
      <c r="D9" s="6">
        <v>0.34549999999999997</v>
      </c>
      <c r="E9" s="6">
        <v>0.34370000000000001</v>
      </c>
      <c r="F9" s="6">
        <v>0.38600000000000001</v>
      </c>
    </row>
    <row r="10" spans="2:6">
      <c r="B10" t="s">
        <v>25</v>
      </c>
      <c r="C10" s="6">
        <v>0.21990000000000001</v>
      </c>
      <c r="D10" s="6">
        <v>0.2021</v>
      </c>
      <c r="E10" s="6">
        <v>0.20080000000000001</v>
      </c>
      <c r="F10" s="6">
        <v>0.26979999999999998</v>
      </c>
    </row>
    <row r="11" spans="2:6">
      <c r="B11" t="s">
        <v>48</v>
      </c>
      <c r="C11" s="6">
        <v>0.20069999999999999</v>
      </c>
      <c r="D11" s="6">
        <v>0.29389999999999999</v>
      </c>
      <c r="E11" s="6">
        <v>0.28420000000000001</v>
      </c>
      <c r="F11" s="6">
        <v>0.28810000000000002</v>
      </c>
    </row>
    <row r="12" spans="2:6">
      <c r="B12" t="s">
        <v>111</v>
      </c>
      <c r="C12" s="6">
        <v>0.60350000000000004</v>
      </c>
      <c r="D12" s="6">
        <v>0.60529999999999995</v>
      </c>
      <c r="E12" s="6">
        <v>0.5786</v>
      </c>
      <c r="F12" s="6">
        <v>0.60009999999999997</v>
      </c>
    </row>
    <row r="13" spans="2:6">
      <c r="B13" t="s">
        <v>63</v>
      </c>
      <c r="C13" s="6">
        <v>0.2571</v>
      </c>
      <c r="D13" s="6">
        <v>0.25330000000000003</v>
      </c>
      <c r="E13" s="6">
        <v>0.32069999999999999</v>
      </c>
      <c r="F13" s="6">
        <v>0.35170000000000001</v>
      </c>
    </row>
    <row r="14" spans="2:6">
      <c r="B14" t="s">
        <v>19</v>
      </c>
      <c r="C14" s="6">
        <v>0.1399</v>
      </c>
      <c r="D14" s="6">
        <v>0.123</v>
      </c>
      <c r="E14" s="6">
        <v>0.129</v>
      </c>
      <c r="F14" s="6">
        <v>4.7699999999999999E-2</v>
      </c>
    </row>
    <row r="15" spans="2:6">
      <c r="B15" t="s">
        <v>408</v>
      </c>
      <c r="C15" s="6">
        <v>0.41959999999999997</v>
      </c>
      <c r="D15" s="6">
        <v>0.41920000000000002</v>
      </c>
      <c r="E15" s="6">
        <v>0.35120000000000001</v>
      </c>
      <c r="F15" s="6">
        <v>0.35449999999999998</v>
      </c>
    </row>
    <row r="16" spans="2:6">
      <c r="B16" t="s">
        <v>239</v>
      </c>
      <c r="C16" s="6">
        <v>0.2545</v>
      </c>
      <c r="D16" s="6">
        <v>0.26200000000000001</v>
      </c>
      <c r="E16" s="6">
        <v>0.2397</v>
      </c>
      <c r="F16" s="6">
        <v>0.1943</v>
      </c>
    </row>
    <row r="17" spans="2:6">
      <c r="B17" t="s">
        <v>267</v>
      </c>
      <c r="C17" s="6">
        <v>0</v>
      </c>
      <c r="D17" s="6">
        <v>0</v>
      </c>
      <c r="E17" s="6">
        <v>0</v>
      </c>
      <c r="F17" s="6">
        <v>0</v>
      </c>
    </row>
    <row r="18" spans="2:6">
      <c r="B18" t="s">
        <v>66</v>
      </c>
      <c r="C18" s="6">
        <v>0.25509999999999999</v>
      </c>
      <c r="D18" s="6">
        <v>0.18859999999999999</v>
      </c>
      <c r="E18" s="6">
        <v>0.21210000000000001</v>
      </c>
      <c r="F18" s="6">
        <v>0.21529999999999999</v>
      </c>
    </row>
    <row r="19" spans="2:6">
      <c r="B19" t="s">
        <v>264</v>
      </c>
      <c r="C19" s="6">
        <v>0.14019999999999999</v>
      </c>
      <c r="D19" s="6">
        <v>0.15</v>
      </c>
      <c r="E19" s="6">
        <v>0.18959999999999999</v>
      </c>
      <c r="F19" s="6">
        <v>0.1608</v>
      </c>
    </row>
    <row r="20" spans="2:6">
      <c r="B20" t="s">
        <v>269</v>
      </c>
      <c r="C20" s="6">
        <v>0.26450000000000001</v>
      </c>
      <c r="D20" s="6">
        <v>0.1477</v>
      </c>
      <c r="E20" s="6">
        <v>6.4399999999999999E-2</v>
      </c>
      <c r="F20" s="6">
        <v>0</v>
      </c>
    </row>
    <row r="21" spans="2:6">
      <c r="B21" t="s">
        <v>71</v>
      </c>
      <c r="C21" s="6">
        <v>0.3881</v>
      </c>
      <c r="D21" s="6">
        <v>0.36799999999999999</v>
      </c>
      <c r="E21" s="6">
        <v>0.37019999999999997</v>
      </c>
      <c r="F21" s="6">
        <v>0.35899999999999999</v>
      </c>
    </row>
    <row r="22" spans="2:6">
      <c r="B22" t="s">
        <v>477</v>
      </c>
      <c r="C22" s="6">
        <v>0.64349999999999996</v>
      </c>
      <c r="D22" s="6">
        <v>0.3609</v>
      </c>
      <c r="E22" s="6">
        <v>0.27800000000000002</v>
      </c>
      <c r="F22" s="6">
        <v>0.25459999999999999</v>
      </c>
    </row>
    <row r="23" spans="2:6">
      <c r="B23" t="s">
        <v>392</v>
      </c>
      <c r="C23" s="6">
        <v>0.13830000000000001</v>
      </c>
      <c r="D23" s="6">
        <v>0.18640000000000001</v>
      </c>
      <c r="E23" s="6">
        <v>0.27139999999999997</v>
      </c>
      <c r="F23" s="6">
        <v>0.20499999999999999</v>
      </c>
    </row>
    <row r="24" spans="2:6">
      <c r="B24" t="s">
        <v>233</v>
      </c>
      <c r="C24" s="6">
        <v>0.22309999999999999</v>
      </c>
      <c r="D24" s="6">
        <v>0.29970000000000002</v>
      </c>
      <c r="E24" s="6">
        <v>0.29499999999999998</v>
      </c>
      <c r="F24" s="6">
        <v>0.4703</v>
      </c>
    </row>
    <row r="25" spans="2:6">
      <c r="B25" t="s">
        <v>380</v>
      </c>
      <c r="C25" s="6">
        <v>0.37669999999999998</v>
      </c>
      <c r="D25" s="6">
        <v>0.38600000000000001</v>
      </c>
      <c r="E25" s="6">
        <v>0.42599999999999999</v>
      </c>
      <c r="F25" s="6">
        <v>0.51800000000000002</v>
      </c>
    </row>
    <row r="26" spans="2:6">
      <c r="B26" t="s">
        <v>47</v>
      </c>
      <c r="C26" s="6">
        <v>0.56459999999999999</v>
      </c>
      <c r="D26" s="6">
        <v>0.5958</v>
      </c>
      <c r="E26" s="6">
        <v>0.55910000000000004</v>
      </c>
      <c r="F26" s="6">
        <v>0.3508</v>
      </c>
    </row>
    <row r="27" spans="2:6">
      <c r="B27" t="s">
        <v>481</v>
      </c>
      <c r="C27" s="6">
        <v>8.3099999999999993E-2</v>
      </c>
      <c r="D27" s="6">
        <v>0.1759</v>
      </c>
      <c r="E27" s="6">
        <v>0.14979999999999999</v>
      </c>
      <c r="F27" s="6">
        <v>6.7799999999999999E-2</v>
      </c>
    </row>
    <row r="28" spans="2:6">
      <c r="B28" t="s">
        <v>360</v>
      </c>
      <c r="C28" s="6">
        <v>0.63870000000000005</v>
      </c>
      <c r="D28" s="6">
        <v>0.6552</v>
      </c>
      <c r="E28" s="6">
        <v>0.66420000000000001</v>
      </c>
      <c r="F28" s="6">
        <v>0.47120000000000001</v>
      </c>
    </row>
    <row r="29" spans="2:6">
      <c r="B29" t="s">
        <v>102</v>
      </c>
      <c r="C29" s="6">
        <v>0.37030000000000002</v>
      </c>
      <c r="D29" s="6">
        <v>0.4128</v>
      </c>
      <c r="E29" s="6">
        <v>0.45960000000000001</v>
      </c>
      <c r="F29" s="6">
        <v>0.3886</v>
      </c>
    </row>
    <row r="30" spans="2:6">
      <c r="B30" t="s">
        <v>27</v>
      </c>
      <c r="C30" s="6">
        <v>0.33040000000000003</v>
      </c>
      <c r="D30" s="6">
        <v>0.31309999999999999</v>
      </c>
      <c r="E30" s="6">
        <v>0.30819999999999997</v>
      </c>
      <c r="F30" s="6">
        <v>0.28339999999999999</v>
      </c>
    </row>
    <row r="31" spans="2:6">
      <c r="B31" t="s">
        <v>153</v>
      </c>
      <c r="C31" s="6">
        <v>0.60309999999999997</v>
      </c>
      <c r="D31" s="6">
        <v>0.2039</v>
      </c>
      <c r="E31" s="6">
        <v>0.2137</v>
      </c>
      <c r="F31" s="6">
        <v>0.22589999999999999</v>
      </c>
    </row>
    <row r="32" spans="2:6">
      <c r="B32" t="s">
        <v>311</v>
      </c>
      <c r="C32" s="6">
        <v>0.37630000000000002</v>
      </c>
      <c r="D32" s="6">
        <v>0.33810000000000001</v>
      </c>
      <c r="E32" s="6">
        <v>0.35849999999999999</v>
      </c>
      <c r="F32" s="6">
        <v>0.31609999999999999</v>
      </c>
    </row>
    <row r="33" spans="2:6">
      <c r="B33" t="s">
        <v>328</v>
      </c>
      <c r="C33" s="6">
        <v>0.84530000000000005</v>
      </c>
      <c r="D33" s="6">
        <v>1.1376999999999999</v>
      </c>
      <c r="E33" s="6">
        <v>1.1348</v>
      </c>
      <c r="F33" s="6">
        <v>1.2716000000000001</v>
      </c>
    </row>
    <row r="34" spans="2:6">
      <c r="B34" t="s">
        <v>302</v>
      </c>
      <c r="C34" s="6">
        <v>0.33829999999999999</v>
      </c>
      <c r="D34" s="6">
        <v>0.32269999999999999</v>
      </c>
      <c r="E34" s="6">
        <v>0.27639999999999998</v>
      </c>
      <c r="F34" s="6">
        <v>0.25219999999999998</v>
      </c>
    </row>
    <row r="35" spans="2:6">
      <c r="B35" t="s">
        <v>824</v>
      </c>
      <c r="C35" s="6">
        <v>4.4000000000000003E-3</v>
      </c>
      <c r="D35" s="6">
        <v>6.6E-3</v>
      </c>
      <c r="E35" s="6">
        <v>2.9999999999999997E-4</v>
      </c>
      <c r="F35" s="6">
        <v>0</v>
      </c>
    </row>
    <row r="36" spans="2:6">
      <c r="B36" t="s">
        <v>339</v>
      </c>
      <c r="C36" s="6">
        <v>1.3299999999999999E-2</v>
      </c>
      <c r="D36" s="6">
        <v>0.18290000000000001</v>
      </c>
      <c r="E36" s="6">
        <v>0.29189999999999999</v>
      </c>
      <c r="F36" s="6">
        <v>0.16089999999999999</v>
      </c>
    </row>
    <row r="37" spans="2:6">
      <c r="B37" t="s">
        <v>478</v>
      </c>
      <c r="C37" s="6">
        <v>3.0300000000000001E-2</v>
      </c>
      <c r="D37" s="6">
        <v>1.9900000000000001E-2</v>
      </c>
      <c r="E37" s="6">
        <v>1.66E-2</v>
      </c>
      <c r="F37" s="6">
        <v>1.72E-2</v>
      </c>
    </row>
    <row r="38" spans="2:6">
      <c r="B38" t="s">
        <v>113</v>
      </c>
      <c r="C38" s="6">
        <v>0.13120000000000001</v>
      </c>
      <c r="D38" s="6">
        <v>8.5000000000000006E-2</v>
      </c>
      <c r="E38" s="6">
        <v>5.7099999999999998E-2</v>
      </c>
      <c r="F38" s="6">
        <v>2.58E-2</v>
      </c>
    </row>
    <row r="39" spans="2:6">
      <c r="B39" t="s">
        <v>299</v>
      </c>
      <c r="C39" s="6">
        <v>0.12690000000000001</v>
      </c>
      <c r="D39" s="6">
        <v>0.2382</v>
      </c>
      <c r="E39" s="6">
        <v>0.38900000000000001</v>
      </c>
      <c r="F39" s="6">
        <v>0.47799999999999998</v>
      </c>
    </row>
    <row r="40" spans="2:6">
      <c r="B40" t="s">
        <v>144</v>
      </c>
      <c r="C40" s="6">
        <v>0.58109999999999995</v>
      </c>
      <c r="D40" s="6">
        <v>0.6079</v>
      </c>
      <c r="E40" s="6">
        <v>0.60960000000000003</v>
      </c>
      <c r="F40" s="6">
        <v>0.61070000000000002</v>
      </c>
    </row>
    <row r="41" spans="2:6">
      <c r="B41" t="s">
        <v>277</v>
      </c>
      <c r="C41" s="6">
        <v>0.96640000000000004</v>
      </c>
      <c r="D41" s="6">
        <v>1.1459999999999999</v>
      </c>
      <c r="E41" s="6">
        <v>0.47210000000000002</v>
      </c>
      <c r="F41" s="6">
        <v>0.46300000000000002</v>
      </c>
    </row>
    <row r="42" spans="2:6">
      <c r="B42" t="s">
        <v>145</v>
      </c>
      <c r="C42" s="6">
        <v>0.16520000000000001</v>
      </c>
      <c r="D42" s="6">
        <v>6.0100000000000001E-2</v>
      </c>
      <c r="E42" s="6">
        <v>5.4899999999999997E-2</v>
      </c>
      <c r="F42" s="6">
        <v>0.25740000000000002</v>
      </c>
    </row>
    <row r="43" spans="2:6">
      <c r="B43" t="s">
        <v>155</v>
      </c>
      <c r="C43" s="6">
        <v>0.16930000000000001</v>
      </c>
      <c r="D43" s="6">
        <v>0.158</v>
      </c>
      <c r="E43" s="6">
        <v>0.1762</v>
      </c>
      <c r="F43" s="6">
        <v>0.21079999999999999</v>
      </c>
    </row>
    <row r="44" spans="2:6">
      <c r="B44" t="s">
        <v>185</v>
      </c>
      <c r="C44" s="6">
        <v>2.2000000000000001E-3</v>
      </c>
      <c r="D44" s="6">
        <v>0</v>
      </c>
      <c r="E44" s="6">
        <v>0</v>
      </c>
      <c r="F44" s="6">
        <v>0</v>
      </c>
    </row>
    <row r="45" spans="2:6">
      <c r="B45" t="s">
        <v>30</v>
      </c>
      <c r="C45" s="6">
        <v>0.27079999999999999</v>
      </c>
      <c r="D45" s="6">
        <v>0.25340000000000001</v>
      </c>
      <c r="E45" s="6">
        <v>0.2492</v>
      </c>
      <c r="F45" s="6">
        <v>0.26229999999999998</v>
      </c>
    </row>
    <row r="46" spans="2:6">
      <c r="B46" t="s">
        <v>251</v>
      </c>
      <c r="C46" s="6">
        <v>6.88E-2</v>
      </c>
      <c r="D46" s="6">
        <v>4.9200000000000001E-2</v>
      </c>
      <c r="E46" s="6">
        <v>5.2499999999999998E-2</v>
      </c>
      <c r="F46" s="6">
        <v>4.7300000000000002E-2</v>
      </c>
    </row>
    <row r="47" spans="2:6">
      <c r="B47" t="s">
        <v>20</v>
      </c>
      <c r="C47" s="6">
        <v>0.3473</v>
      </c>
      <c r="D47" s="6">
        <v>0.38069999999999998</v>
      </c>
      <c r="E47" s="6">
        <v>0.35310000000000002</v>
      </c>
      <c r="F47" s="6">
        <v>0.37180000000000002</v>
      </c>
    </row>
    <row r="48" spans="2:6">
      <c r="B48" t="s">
        <v>207</v>
      </c>
      <c r="C48" s="6">
        <v>0.22040000000000001</v>
      </c>
      <c r="D48" s="6">
        <v>0.15060000000000001</v>
      </c>
      <c r="E48" s="6">
        <v>0.1794</v>
      </c>
      <c r="F48" s="6">
        <v>0.31440000000000001</v>
      </c>
    </row>
    <row r="49" spans="2:6">
      <c r="B49" t="s">
        <v>222</v>
      </c>
      <c r="C49" s="6">
        <v>0.28989999999999999</v>
      </c>
      <c r="D49" s="6">
        <v>0.30580000000000002</v>
      </c>
      <c r="E49" s="6">
        <v>0.3105</v>
      </c>
      <c r="F49" s="6">
        <v>0.30959999999999999</v>
      </c>
    </row>
    <row r="50" spans="2:6">
      <c r="B50" t="s">
        <v>177</v>
      </c>
      <c r="C50" s="6">
        <v>0.2457</v>
      </c>
      <c r="D50" s="6">
        <v>0.19769999999999999</v>
      </c>
      <c r="E50" s="6">
        <v>0.28460000000000002</v>
      </c>
      <c r="F50" s="6">
        <v>0.3044</v>
      </c>
    </row>
    <row r="51" spans="2:6">
      <c r="B51" t="s">
        <v>317</v>
      </c>
      <c r="C51" s="6">
        <v>0.80889999999999995</v>
      </c>
      <c r="D51" s="6">
        <v>0.56779999999999997</v>
      </c>
      <c r="E51" s="6">
        <v>0.15859999999999999</v>
      </c>
      <c r="F51" s="6">
        <v>0.1477</v>
      </c>
    </row>
    <row r="52" spans="2:6">
      <c r="B52" t="s">
        <v>103</v>
      </c>
      <c r="C52" s="6">
        <v>0.65380000000000005</v>
      </c>
      <c r="D52" s="6">
        <v>0.64659999999999995</v>
      </c>
      <c r="E52" s="6">
        <v>0.67989999999999995</v>
      </c>
      <c r="F52" s="6">
        <v>0.69279999999999997</v>
      </c>
    </row>
    <row r="53" spans="2:6">
      <c r="B53" t="s">
        <v>829</v>
      </c>
      <c r="C53" s="6">
        <v>2.1741999999999999</v>
      </c>
      <c r="D53" s="6">
        <v>3.2528000000000001</v>
      </c>
      <c r="E53" s="6">
        <v>7.17</v>
      </c>
      <c r="F53" s="6">
        <v>7.7122999999999999</v>
      </c>
    </row>
    <row r="54" spans="2:6">
      <c r="B54" t="s">
        <v>179</v>
      </c>
      <c r="C54" s="6">
        <v>0.33139999999999997</v>
      </c>
      <c r="D54" s="6">
        <v>0.3926</v>
      </c>
      <c r="E54" s="6">
        <v>0.40910000000000002</v>
      </c>
      <c r="F54" s="6">
        <v>0.1198</v>
      </c>
    </row>
    <row r="55" spans="2:6">
      <c r="B55" t="s">
        <v>215</v>
      </c>
      <c r="C55" s="6">
        <v>0.37859999999999999</v>
      </c>
      <c r="D55" s="6">
        <v>0.43909999999999999</v>
      </c>
      <c r="E55" s="6">
        <v>0.41920000000000002</v>
      </c>
      <c r="F55" s="6">
        <v>0.43940000000000001</v>
      </c>
    </row>
    <row r="56" spans="2:6">
      <c r="B56" t="s">
        <v>418</v>
      </c>
      <c r="C56" s="6">
        <v>0.1298</v>
      </c>
      <c r="D56" s="6">
        <v>1.6899999999999998E-2</v>
      </c>
      <c r="E56" s="6">
        <v>9.2799999999999994E-2</v>
      </c>
      <c r="F56" s="6">
        <v>5.7299999999999997E-2</v>
      </c>
    </row>
    <row r="57" spans="2:6">
      <c r="B57" t="s">
        <v>6</v>
      </c>
      <c r="C57" s="6">
        <v>0.2089</v>
      </c>
      <c r="D57" s="6">
        <v>0.2505</v>
      </c>
      <c r="E57" s="6">
        <v>0.37690000000000001</v>
      </c>
      <c r="F57" s="6">
        <v>0.35299999999999998</v>
      </c>
    </row>
    <row r="58" spans="2:6">
      <c r="B58" t="s">
        <v>398</v>
      </c>
      <c r="C58" s="6">
        <v>0.58379999999999999</v>
      </c>
      <c r="D58" s="6">
        <v>0.1116</v>
      </c>
      <c r="E58" s="6">
        <v>0.11219999999999999</v>
      </c>
      <c r="F58" s="6">
        <v>0.28449999999999998</v>
      </c>
    </row>
    <row r="59" spans="2:6">
      <c r="B59" t="s">
        <v>314</v>
      </c>
      <c r="C59" s="6">
        <v>0</v>
      </c>
      <c r="D59" s="6">
        <v>0</v>
      </c>
      <c r="E59" s="6">
        <v>0</v>
      </c>
      <c r="F59" s="6">
        <v>0</v>
      </c>
    </row>
    <row r="60" spans="2:6">
      <c r="B60" t="s">
        <v>160</v>
      </c>
      <c r="C60" s="6">
        <v>0.214</v>
      </c>
      <c r="D60" s="6">
        <v>0.18840000000000001</v>
      </c>
      <c r="E60" s="6">
        <v>0.1125</v>
      </c>
      <c r="F60" s="6">
        <v>8.8999999999999996E-2</v>
      </c>
    </row>
    <row r="61" spans="2:6">
      <c r="B61" t="s">
        <v>56</v>
      </c>
      <c r="C61" s="6">
        <v>0.32490000000000002</v>
      </c>
      <c r="D61" s="6">
        <v>0.26500000000000001</v>
      </c>
      <c r="E61" s="6">
        <v>0.30159999999999998</v>
      </c>
      <c r="F61" s="6">
        <v>0.2752</v>
      </c>
    </row>
    <row r="62" spans="2:6">
      <c r="B62" t="s">
        <v>282</v>
      </c>
      <c r="C62" s="6">
        <v>0.12239999999999999</v>
      </c>
      <c r="D62" s="6">
        <v>0.23810000000000001</v>
      </c>
      <c r="E62" s="6">
        <v>0.26029999999999998</v>
      </c>
      <c r="F62" s="6">
        <v>0.26779999999999998</v>
      </c>
    </row>
    <row r="63" spans="2:6">
      <c r="B63" t="s">
        <v>332</v>
      </c>
      <c r="C63" s="6">
        <v>0.31009999999999999</v>
      </c>
      <c r="D63" s="6">
        <v>0.31390000000000001</v>
      </c>
      <c r="E63" s="6">
        <v>0.3377</v>
      </c>
      <c r="F63" s="6">
        <v>0.33729999999999999</v>
      </c>
    </row>
    <row r="64" spans="2:6">
      <c r="B64" t="s">
        <v>227</v>
      </c>
      <c r="C64" s="6">
        <v>0.25540000000000002</v>
      </c>
      <c r="D64" s="6">
        <v>0.33300000000000002</v>
      </c>
      <c r="E64" s="6">
        <v>0.38379999999999997</v>
      </c>
      <c r="F64" s="6">
        <v>0.34939999999999999</v>
      </c>
    </row>
    <row r="65" spans="2:6">
      <c r="B65" t="s">
        <v>178</v>
      </c>
      <c r="C65" s="6">
        <v>0</v>
      </c>
      <c r="D65" s="6">
        <v>0</v>
      </c>
      <c r="E65" s="6">
        <v>0</v>
      </c>
      <c r="F65" s="6">
        <v>0</v>
      </c>
    </row>
    <row r="66" spans="2:6">
      <c r="B66" t="s">
        <v>200</v>
      </c>
      <c r="C66" s="6">
        <v>0.13</v>
      </c>
      <c r="D66" s="6">
        <v>0.224</v>
      </c>
      <c r="E66" s="6">
        <v>0.23980000000000001</v>
      </c>
      <c r="F66" s="6">
        <v>0.20399999999999999</v>
      </c>
    </row>
    <row r="67" spans="2:6">
      <c r="B67" t="s">
        <v>275</v>
      </c>
      <c r="C67" s="6">
        <v>0.45040000000000002</v>
      </c>
      <c r="D67" s="6">
        <v>0.46879999999999999</v>
      </c>
      <c r="E67" s="6">
        <v>0.53300000000000003</v>
      </c>
      <c r="F67" s="6">
        <v>0.54779999999999995</v>
      </c>
    </row>
    <row r="68" spans="2:6">
      <c r="B68" t="s">
        <v>400</v>
      </c>
      <c r="C68" s="6">
        <v>0.34699999999999998</v>
      </c>
      <c r="D68" s="6">
        <v>0.42099999999999999</v>
      </c>
      <c r="E68" s="6">
        <v>0.27639999999999998</v>
      </c>
      <c r="F68" s="6">
        <v>0.2389</v>
      </c>
    </row>
    <row r="69" spans="2:6">
      <c r="B69" t="s">
        <v>67</v>
      </c>
      <c r="C69" s="6">
        <v>5.67E-2</v>
      </c>
      <c r="D69" s="6">
        <v>4.6899999999999997E-2</v>
      </c>
      <c r="E69" s="6">
        <v>0.1203</v>
      </c>
      <c r="F69" s="6">
        <v>0.12130000000000001</v>
      </c>
    </row>
    <row r="70" spans="2:6">
      <c r="B70" t="s">
        <v>212</v>
      </c>
      <c r="C70" s="6">
        <v>0</v>
      </c>
      <c r="D70" s="6">
        <v>0</v>
      </c>
      <c r="E70" s="6">
        <v>1.9099999999999999E-2</v>
      </c>
      <c r="F70" s="6">
        <v>3.6200000000000003E-2</v>
      </c>
    </row>
    <row r="71" spans="2:6">
      <c r="B71" t="s">
        <v>345</v>
      </c>
      <c r="C71" s="6">
        <v>0.4118</v>
      </c>
      <c r="D71" s="6">
        <v>0.44590000000000002</v>
      </c>
      <c r="E71" s="6">
        <v>0.48920000000000002</v>
      </c>
      <c r="F71" s="6">
        <v>0.6946</v>
      </c>
    </row>
    <row r="72" spans="2:6">
      <c r="B72" t="s">
        <v>244</v>
      </c>
      <c r="C72" s="6">
        <v>0.2525</v>
      </c>
      <c r="D72" s="6">
        <v>0.1172</v>
      </c>
      <c r="E72" s="6">
        <v>0.10199999999999999</v>
      </c>
      <c r="F72" s="6">
        <v>0.1469</v>
      </c>
    </row>
    <row r="73" spans="2:6">
      <c r="B73" t="s">
        <v>496</v>
      </c>
      <c r="C73" s="6">
        <v>7.3200000000000001E-2</v>
      </c>
      <c r="D73" s="6">
        <v>0</v>
      </c>
      <c r="E73" s="6">
        <v>0.20369999999999999</v>
      </c>
      <c r="F73" s="6">
        <v>4.2900000000000001E-2</v>
      </c>
    </row>
    <row r="74" spans="2:6">
      <c r="B74" t="s">
        <v>39</v>
      </c>
      <c r="C74" s="6">
        <v>0.3165</v>
      </c>
      <c r="D74" s="6">
        <v>0.27700000000000002</v>
      </c>
      <c r="E74" s="6">
        <v>0.18640000000000001</v>
      </c>
      <c r="F74" s="6">
        <v>0.186</v>
      </c>
    </row>
    <row r="75" spans="2:6">
      <c r="B75" t="s">
        <v>52</v>
      </c>
      <c r="C75" s="6">
        <v>0.37459999999999999</v>
      </c>
      <c r="D75" s="6">
        <v>0.48759999999999998</v>
      </c>
      <c r="E75" s="6">
        <v>0.41889999999999999</v>
      </c>
      <c r="F75" s="6">
        <v>0.33510000000000001</v>
      </c>
    </row>
    <row r="76" spans="2:6">
      <c r="B76" t="s">
        <v>134</v>
      </c>
      <c r="C76" s="6">
        <v>0.45760000000000001</v>
      </c>
      <c r="D76" s="6">
        <v>0.4113</v>
      </c>
      <c r="E76" s="6">
        <v>0.43140000000000001</v>
      </c>
      <c r="F76" s="6">
        <v>0.41410000000000002</v>
      </c>
    </row>
    <row r="77" spans="2:6">
      <c r="B77" t="s">
        <v>259</v>
      </c>
      <c r="C77" s="6">
        <v>0.2132</v>
      </c>
      <c r="D77" s="6">
        <v>0.21940000000000001</v>
      </c>
      <c r="E77" s="6">
        <v>0.21110000000000001</v>
      </c>
      <c r="F77" s="6">
        <v>0.159</v>
      </c>
    </row>
    <row r="78" spans="2:6">
      <c r="B78" t="s">
        <v>32</v>
      </c>
      <c r="C78" s="6">
        <v>0.1275</v>
      </c>
      <c r="D78" s="6">
        <v>4.4299999999999999E-2</v>
      </c>
      <c r="E78" s="6">
        <v>3.44E-2</v>
      </c>
      <c r="F78" s="6">
        <v>2.4199999999999999E-2</v>
      </c>
    </row>
    <row r="79" spans="2:6">
      <c r="B79" t="s">
        <v>276</v>
      </c>
      <c r="C79" s="6">
        <v>0.18629999999999999</v>
      </c>
      <c r="D79" s="6">
        <v>0.18429999999999999</v>
      </c>
      <c r="E79" s="6">
        <v>0.18149999999999999</v>
      </c>
      <c r="F79" s="6">
        <v>0.18540000000000001</v>
      </c>
    </row>
    <row r="80" spans="2:6">
      <c r="B80" t="s">
        <v>273</v>
      </c>
      <c r="C80" s="6">
        <v>0.40539999999999998</v>
      </c>
      <c r="D80" s="6">
        <v>0.36909999999999998</v>
      </c>
      <c r="E80" s="6">
        <v>0.41720000000000002</v>
      </c>
      <c r="F80" s="6">
        <v>0.33350000000000002</v>
      </c>
    </row>
    <row r="81" spans="2:6">
      <c r="B81" t="s">
        <v>106</v>
      </c>
      <c r="C81" s="6">
        <v>0.16750000000000001</v>
      </c>
      <c r="D81" s="6">
        <v>0.11890000000000001</v>
      </c>
      <c r="E81" s="6">
        <v>0.1101</v>
      </c>
      <c r="F81" s="6">
        <v>0.1065</v>
      </c>
    </row>
    <row r="82" spans="2:6">
      <c r="B82" t="s">
        <v>8</v>
      </c>
      <c r="C82" s="6">
        <v>0.32800000000000001</v>
      </c>
      <c r="D82" s="6">
        <v>0.2616</v>
      </c>
      <c r="E82" s="6">
        <v>0.1774</v>
      </c>
      <c r="F82" s="6">
        <v>7.8399999999999997E-2</v>
      </c>
    </row>
    <row r="83" spans="2:6">
      <c r="B83" t="s">
        <v>2</v>
      </c>
      <c r="C83" s="6">
        <v>1.2373000000000001</v>
      </c>
      <c r="D83" s="6">
        <v>1.4471000000000001</v>
      </c>
      <c r="E83" s="6">
        <v>0.47389999999999999</v>
      </c>
      <c r="F83" s="6">
        <v>0.39960000000000001</v>
      </c>
    </row>
    <row r="84" spans="2:6">
      <c r="B84" t="s">
        <v>42</v>
      </c>
      <c r="C84" s="6">
        <v>0.19869999999999999</v>
      </c>
      <c r="D84" s="6">
        <v>0.1976</v>
      </c>
      <c r="E84" s="6">
        <v>0.26729999999999998</v>
      </c>
      <c r="F84" s="6">
        <v>0.24579999999999999</v>
      </c>
    </row>
    <row r="85" spans="2:6">
      <c r="B85" t="s">
        <v>247</v>
      </c>
      <c r="C85" s="6">
        <v>0.79449999999999998</v>
      </c>
      <c r="D85" s="6">
        <v>0.54100000000000004</v>
      </c>
      <c r="E85" s="6">
        <v>0.40279999999999999</v>
      </c>
      <c r="F85" s="6">
        <v>0.42480000000000001</v>
      </c>
    </row>
    <row r="86" spans="2:6">
      <c r="B86" t="s">
        <v>381</v>
      </c>
      <c r="C86" s="6">
        <v>0.33179999999999998</v>
      </c>
      <c r="D86" s="6">
        <v>0.31469999999999998</v>
      </c>
      <c r="E86" s="6">
        <v>0.1263</v>
      </c>
      <c r="F86" s="6">
        <v>0.21640000000000001</v>
      </c>
    </row>
    <row r="87" spans="2:6">
      <c r="B87" t="s">
        <v>371</v>
      </c>
      <c r="C87" s="6">
        <v>7.0800000000000002E-2</v>
      </c>
      <c r="D87" s="6">
        <v>9.9000000000000005E-2</v>
      </c>
      <c r="E87" s="6">
        <v>1.49E-2</v>
      </c>
      <c r="F87" s="6">
        <v>3.0599999999999999E-2</v>
      </c>
    </row>
    <row r="88" spans="2:6">
      <c r="B88" t="s">
        <v>471</v>
      </c>
      <c r="C88" s="6">
        <v>2.5000000000000001E-3</v>
      </c>
      <c r="D88" s="6">
        <v>2.5000000000000001E-3</v>
      </c>
      <c r="E88" s="6">
        <v>0.12180000000000001</v>
      </c>
      <c r="F88" s="6">
        <v>5.4399999999999997E-2</v>
      </c>
    </row>
    <row r="89" spans="2:6">
      <c r="B89" t="s">
        <v>492</v>
      </c>
      <c r="C89" s="6">
        <v>0.34920000000000001</v>
      </c>
      <c r="D89" s="6">
        <v>0.2147</v>
      </c>
      <c r="E89" s="6">
        <v>0</v>
      </c>
      <c r="F89" s="6">
        <v>0</v>
      </c>
    </row>
    <row r="90" spans="2:6">
      <c r="B90" t="s">
        <v>343</v>
      </c>
      <c r="C90" s="6">
        <v>0</v>
      </c>
      <c r="D90" s="6">
        <v>0</v>
      </c>
      <c r="E90" s="6">
        <v>0</v>
      </c>
      <c r="F90" s="6">
        <v>0.1173</v>
      </c>
    </row>
    <row r="91" spans="2:6">
      <c r="B91" t="s">
        <v>96</v>
      </c>
      <c r="C91" s="6">
        <v>0.2402</v>
      </c>
      <c r="D91" s="6">
        <v>0.26479999999999998</v>
      </c>
      <c r="E91" s="6">
        <v>0.26729999999999998</v>
      </c>
      <c r="F91" s="6">
        <v>0.25640000000000002</v>
      </c>
    </row>
    <row r="92" spans="2:6">
      <c r="B92" t="s">
        <v>127</v>
      </c>
      <c r="C92" s="6">
        <v>0.2843</v>
      </c>
      <c r="D92" s="6">
        <v>0.21790000000000001</v>
      </c>
      <c r="E92" s="6">
        <v>0.2626</v>
      </c>
      <c r="F92" s="6">
        <v>0.2581</v>
      </c>
    </row>
    <row r="93" spans="2:6">
      <c r="B93" t="s">
        <v>191</v>
      </c>
      <c r="C93" s="6">
        <v>2.9999999999999997E-4</v>
      </c>
      <c r="D93" s="6">
        <v>0.1875</v>
      </c>
      <c r="E93" s="6">
        <v>0.34670000000000001</v>
      </c>
      <c r="F93" s="6">
        <v>0.32619999999999999</v>
      </c>
    </row>
    <row r="94" spans="2:6">
      <c r="B94" t="s">
        <v>187</v>
      </c>
      <c r="C94" s="6">
        <v>0.55220000000000002</v>
      </c>
      <c r="D94" s="6">
        <v>0.67249999999999999</v>
      </c>
      <c r="E94" s="6">
        <v>0.92410000000000003</v>
      </c>
      <c r="F94" s="6">
        <v>0.59509999999999996</v>
      </c>
    </row>
    <row r="95" spans="2:6">
      <c r="B95" t="s">
        <v>136</v>
      </c>
      <c r="C95" s="6">
        <v>9.1999999999999998E-2</v>
      </c>
      <c r="D95" s="6">
        <v>0.1595</v>
      </c>
      <c r="E95" s="6">
        <v>0.3206</v>
      </c>
      <c r="F95" s="6">
        <v>0.37180000000000002</v>
      </c>
    </row>
    <row r="96" spans="2:6">
      <c r="B96" t="s">
        <v>406</v>
      </c>
      <c r="C96" s="6">
        <v>0.70440000000000003</v>
      </c>
      <c r="D96" s="6">
        <v>0.70599999999999996</v>
      </c>
      <c r="E96" s="6">
        <v>0.79990000000000006</v>
      </c>
      <c r="F96" s="6">
        <v>0.76849999999999996</v>
      </c>
    </row>
    <row r="97" spans="2:6">
      <c r="B97" t="s">
        <v>220</v>
      </c>
      <c r="C97" s="6">
        <v>0</v>
      </c>
      <c r="D97" s="6">
        <v>0</v>
      </c>
      <c r="E97" s="6">
        <v>0</v>
      </c>
      <c r="F97" s="6">
        <v>0</v>
      </c>
    </row>
    <row r="98" spans="2:6">
      <c r="B98" t="s">
        <v>35</v>
      </c>
      <c r="C98" s="6">
        <v>0.1996</v>
      </c>
      <c r="D98" s="6">
        <v>0.2112</v>
      </c>
      <c r="E98" s="6">
        <v>0.19159999999999999</v>
      </c>
      <c r="F98" s="6">
        <v>0.2283</v>
      </c>
    </row>
    <row r="99" spans="2:6">
      <c r="B99" t="s">
        <v>95</v>
      </c>
      <c r="C99" s="6">
        <v>0.33169999999999999</v>
      </c>
      <c r="D99" s="6">
        <v>0.27310000000000001</v>
      </c>
      <c r="E99" s="6">
        <v>0.2399</v>
      </c>
      <c r="F99" s="6">
        <v>0.161</v>
      </c>
    </row>
    <row r="100" spans="2:6">
      <c r="B100" t="s">
        <v>109</v>
      </c>
      <c r="C100" s="6">
        <v>2.8299999999999999E-2</v>
      </c>
      <c r="D100" s="6">
        <v>5.9700000000000003E-2</v>
      </c>
      <c r="E100" s="6">
        <v>5.8000000000000003E-2</v>
      </c>
      <c r="F100" s="6">
        <v>9.2700000000000005E-2</v>
      </c>
    </row>
    <row r="101" spans="2:6">
      <c r="B101" t="s">
        <v>447</v>
      </c>
      <c r="C101" s="6">
        <v>0.1825</v>
      </c>
      <c r="D101" s="6">
        <v>0.23549999999999999</v>
      </c>
      <c r="E101" s="6">
        <v>0.26319999999999999</v>
      </c>
      <c r="F101" s="6">
        <v>0.3221</v>
      </c>
    </row>
    <row r="102" spans="2:6">
      <c r="B102" t="s">
        <v>77</v>
      </c>
      <c r="C102" s="6">
        <v>0.2291</v>
      </c>
      <c r="D102" s="6">
        <v>0.23899999999999999</v>
      </c>
      <c r="E102" s="6">
        <v>0.24660000000000001</v>
      </c>
      <c r="F102" s="6">
        <v>0.2535</v>
      </c>
    </row>
    <row r="103" spans="2:6">
      <c r="B103" t="s">
        <v>434</v>
      </c>
      <c r="C103" s="6">
        <v>0.56840000000000002</v>
      </c>
      <c r="D103" s="6">
        <v>0.5343</v>
      </c>
      <c r="E103" s="6">
        <v>0.54520000000000002</v>
      </c>
      <c r="F103" s="6">
        <v>0.50970000000000004</v>
      </c>
    </row>
    <row r="104" spans="2:6">
      <c r="B104" t="s">
        <v>396</v>
      </c>
      <c r="C104" s="6">
        <v>0.5887</v>
      </c>
      <c r="D104" s="6">
        <v>0.60319999999999996</v>
      </c>
      <c r="E104" s="6">
        <v>0.436</v>
      </c>
      <c r="F104" s="6">
        <v>0.28179999999999999</v>
      </c>
    </row>
    <row r="105" spans="2:6">
      <c r="B105" t="s">
        <v>265</v>
      </c>
      <c r="C105" s="6">
        <v>0.2591</v>
      </c>
      <c r="D105" s="6">
        <v>0.24049999999999999</v>
      </c>
      <c r="E105" s="6">
        <v>0.35349999999999998</v>
      </c>
      <c r="F105" s="6">
        <v>0.38829999999999998</v>
      </c>
    </row>
    <row r="106" spans="2:6">
      <c r="B106" t="s">
        <v>235</v>
      </c>
      <c r="C106" s="6">
        <v>0.113</v>
      </c>
      <c r="D106" s="6">
        <v>0.17199999999999999</v>
      </c>
      <c r="E106" s="6">
        <v>0.29020000000000001</v>
      </c>
      <c r="F106" s="6">
        <v>0.32119999999999999</v>
      </c>
    </row>
    <row r="107" spans="2:6">
      <c r="B107" t="s">
        <v>338</v>
      </c>
      <c r="C107" s="6">
        <v>0.71289999999999998</v>
      </c>
      <c r="D107" s="6">
        <v>0.57389999999999997</v>
      </c>
      <c r="E107" s="6">
        <v>0.54800000000000004</v>
      </c>
      <c r="F107" s="6">
        <v>0.55559999999999998</v>
      </c>
    </row>
    <row r="108" spans="2:6">
      <c r="B108" t="s">
        <v>407</v>
      </c>
      <c r="C108" s="6">
        <v>5.3800000000000001E-2</v>
      </c>
      <c r="D108" s="6">
        <v>5.0599999999999999E-2</v>
      </c>
      <c r="E108" s="6">
        <v>2.3199999999999998E-2</v>
      </c>
      <c r="F108" s="6">
        <v>1.6E-2</v>
      </c>
    </row>
    <row r="109" spans="2:6">
      <c r="B109" t="s">
        <v>129</v>
      </c>
      <c r="C109" s="6">
        <v>4.7199999999999999E-2</v>
      </c>
      <c r="D109" s="6">
        <v>0.14349999999999999</v>
      </c>
      <c r="E109" s="6">
        <v>0.16059999999999999</v>
      </c>
      <c r="F109" s="6">
        <v>0.112</v>
      </c>
    </row>
    <row r="110" spans="2:6">
      <c r="B110" t="s">
        <v>188</v>
      </c>
      <c r="C110" s="6">
        <v>0.17069999999999999</v>
      </c>
      <c r="D110" s="6">
        <v>9.2600000000000002E-2</v>
      </c>
      <c r="E110" s="6">
        <v>0.13039999999999999</v>
      </c>
      <c r="F110" s="6">
        <v>0.20979999999999999</v>
      </c>
    </row>
    <row r="111" spans="2:6">
      <c r="B111" t="s">
        <v>382</v>
      </c>
      <c r="C111" s="6">
        <v>0.1143</v>
      </c>
      <c r="D111" s="6">
        <v>9.98E-2</v>
      </c>
      <c r="E111" s="6">
        <v>6.5000000000000002E-2</v>
      </c>
      <c r="F111" s="6">
        <v>8.9399999999999993E-2</v>
      </c>
    </row>
    <row r="112" spans="2:6">
      <c r="B112" t="s">
        <v>368</v>
      </c>
      <c r="C112" s="6">
        <v>0.42899999999999999</v>
      </c>
      <c r="D112" s="6">
        <v>0.43109999999999998</v>
      </c>
      <c r="E112" s="6">
        <v>0.43930000000000002</v>
      </c>
      <c r="F112" s="6">
        <v>0.32240000000000002</v>
      </c>
    </row>
    <row r="113" spans="2:6">
      <c r="B113" t="s">
        <v>121</v>
      </c>
      <c r="C113" s="6">
        <v>0.44529999999999997</v>
      </c>
      <c r="D113" s="6">
        <v>0.52310000000000001</v>
      </c>
      <c r="E113" s="6">
        <v>0.53810000000000002</v>
      </c>
      <c r="F113" s="6">
        <v>0.53169999999999995</v>
      </c>
    </row>
    <row r="114" spans="2:6">
      <c r="B114" t="s">
        <v>501</v>
      </c>
      <c r="C114" s="6">
        <v>0.99109999999999998</v>
      </c>
      <c r="D114" s="6">
        <v>1.0015000000000001</v>
      </c>
      <c r="E114" s="6">
        <v>0.81299999999999994</v>
      </c>
      <c r="F114" s="6">
        <v>0.61550000000000005</v>
      </c>
    </row>
    <row r="115" spans="2:6">
      <c r="B115" t="s">
        <v>3</v>
      </c>
      <c r="C115" s="6">
        <v>0.14069999999999999</v>
      </c>
      <c r="D115" s="6">
        <v>0.1321</v>
      </c>
      <c r="E115" s="6">
        <v>8.7499999999999994E-2</v>
      </c>
      <c r="F115" s="6">
        <v>3.5099999999999999E-2</v>
      </c>
    </row>
    <row r="116" spans="2:6">
      <c r="B116" t="s">
        <v>219</v>
      </c>
      <c r="C116" s="6">
        <v>0.1</v>
      </c>
      <c r="D116" s="6">
        <v>0.123</v>
      </c>
      <c r="E116" s="6">
        <v>0.14799999999999999</v>
      </c>
      <c r="F116" s="6">
        <v>0.16919999999999999</v>
      </c>
    </row>
    <row r="117" spans="2:6">
      <c r="B117" t="s">
        <v>252</v>
      </c>
      <c r="C117" s="6">
        <v>0.23</v>
      </c>
      <c r="D117" s="6">
        <v>0.2142</v>
      </c>
      <c r="E117" s="6">
        <v>0.2354</v>
      </c>
      <c r="F117" s="6">
        <v>0.24201</v>
      </c>
    </row>
    <row r="118" spans="2:6">
      <c r="B118" t="s">
        <v>12</v>
      </c>
      <c r="C118" s="6">
        <v>0.79410000000000003</v>
      </c>
      <c r="D118" s="6">
        <v>0.68710000000000004</v>
      </c>
      <c r="E118" s="6">
        <v>0.60170000000000001</v>
      </c>
      <c r="F118" s="6">
        <v>0.58720000000000006</v>
      </c>
    </row>
    <row r="119" spans="2:6">
      <c r="B119" t="s">
        <v>415</v>
      </c>
      <c r="C119" s="6">
        <v>0.29859999999999998</v>
      </c>
      <c r="D119" s="6">
        <v>0.2868</v>
      </c>
      <c r="E119" s="6">
        <v>0.26050000000000001</v>
      </c>
      <c r="F119" s="6">
        <v>0.30659999999999998</v>
      </c>
    </row>
    <row r="120" spans="2:6">
      <c r="B120" t="s">
        <v>370</v>
      </c>
      <c r="C120" s="6">
        <v>0.7147</v>
      </c>
      <c r="D120" s="6">
        <v>0.7742</v>
      </c>
      <c r="E120" s="6">
        <v>0.82020000000000004</v>
      </c>
      <c r="F120" s="6">
        <v>0.4501</v>
      </c>
    </row>
    <row r="121" spans="2:6">
      <c r="B121" t="s">
        <v>163</v>
      </c>
      <c r="C121" s="6">
        <v>0.21010000000000001</v>
      </c>
      <c r="D121" s="6">
        <v>0.21160000000000001</v>
      </c>
      <c r="E121" s="6">
        <v>0.30830000000000002</v>
      </c>
      <c r="F121" s="6">
        <v>0.3049</v>
      </c>
    </row>
    <row r="122" spans="2:6">
      <c r="B122" t="s">
        <v>261</v>
      </c>
      <c r="C122" s="6">
        <v>0.5373</v>
      </c>
      <c r="D122" s="6">
        <v>0.48039999999999999</v>
      </c>
      <c r="E122" s="6">
        <v>0.55489999999999995</v>
      </c>
      <c r="F122" s="6">
        <v>0.55200000000000005</v>
      </c>
    </row>
    <row r="123" spans="2:6">
      <c r="B123" t="s">
        <v>436</v>
      </c>
      <c r="C123" s="6">
        <v>1.8499999999999999E-2</v>
      </c>
      <c r="D123" s="6">
        <v>7.8E-2</v>
      </c>
      <c r="E123" s="6">
        <v>6.4000000000000001E-2</v>
      </c>
      <c r="F123" s="6">
        <v>0.2356</v>
      </c>
    </row>
    <row r="124" spans="2:6">
      <c r="B124" t="s">
        <v>412</v>
      </c>
      <c r="C124" s="6">
        <v>0.34610000000000002</v>
      </c>
      <c r="D124" s="6">
        <v>0.30180000000000001</v>
      </c>
      <c r="E124" s="6">
        <v>0.31280000000000002</v>
      </c>
      <c r="F124" s="6">
        <v>0.35470000000000002</v>
      </c>
    </row>
    <row r="125" spans="2:6">
      <c r="B125" t="s">
        <v>372</v>
      </c>
      <c r="C125" s="6">
        <v>0</v>
      </c>
      <c r="D125" s="6">
        <v>0.72450000000000003</v>
      </c>
      <c r="E125" s="6">
        <v>0.50480000000000003</v>
      </c>
      <c r="F125" s="6">
        <v>9.9099999999999994E-2</v>
      </c>
    </row>
    <row r="126" spans="2:6">
      <c r="B126" t="s">
        <v>206</v>
      </c>
      <c r="C126" s="6">
        <v>0.1522</v>
      </c>
      <c r="D126" s="6">
        <v>0.1799</v>
      </c>
      <c r="E126" s="6">
        <v>0.30070000000000002</v>
      </c>
      <c r="F126" s="6">
        <v>0.28210000000000002</v>
      </c>
    </row>
    <row r="127" spans="2:6">
      <c r="B127" t="s">
        <v>293</v>
      </c>
      <c r="C127" s="6">
        <v>0.34229999999999999</v>
      </c>
      <c r="D127" s="6">
        <v>0.34370000000000001</v>
      </c>
      <c r="E127" s="6">
        <v>0.3957</v>
      </c>
      <c r="F127" s="6">
        <v>0.42620000000000002</v>
      </c>
    </row>
    <row r="128" spans="2:6">
      <c r="B128" t="s">
        <v>324</v>
      </c>
      <c r="C128" s="6">
        <v>0</v>
      </c>
      <c r="D128" s="6">
        <v>0</v>
      </c>
      <c r="E128" s="6">
        <v>0</v>
      </c>
      <c r="F128" s="6">
        <v>0.24590000000000001</v>
      </c>
    </row>
    <row r="129" spans="2:6">
      <c r="B129" t="s">
        <v>422</v>
      </c>
      <c r="C129" s="6">
        <v>0</v>
      </c>
      <c r="D129" s="6">
        <v>0</v>
      </c>
      <c r="E129" s="6">
        <v>0</v>
      </c>
      <c r="F129" s="6">
        <v>0</v>
      </c>
    </row>
    <row r="130" spans="2:6">
      <c r="B130" t="s">
        <v>386</v>
      </c>
      <c r="C130" s="6">
        <v>1.0500000000000001E-2</v>
      </c>
      <c r="D130" s="6">
        <v>2.6100000000000002E-2</v>
      </c>
      <c r="E130" s="6">
        <v>2.93E-2</v>
      </c>
      <c r="F130" s="6">
        <v>2.6800000000000001E-2</v>
      </c>
    </row>
    <row r="131" spans="2:6">
      <c r="B131" t="s">
        <v>493</v>
      </c>
      <c r="C131" s="6">
        <v>0.43390000000000001</v>
      </c>
      <c r="D131" s="6">
        <v>0.3977</v>
      </c>
      <c r="E131" s="6">
        <v>0.60260000000000002</v>
      </c>
      <c r="F131" s="6">
        <v>0.21299999999999999</v>
      </c>
    </row>
    <row r="132" spans="2:6">
      <c r="B132" t="s">
        <v>151</v>
      </c>
      <c r="C132" s="6">
        <v>0.3196</v>
      </c>
      <c r="D132" s="6">
        <v>0.27060000000000001</v>
      </c>
      <c r="E132" s="6">
        <v>0.13370000000000001</v>
      </c>
      <c r="F132" s="6">
        <v>0.10390000000000001</v>
      </c>
    </row>
    <row r="133" spans="2:6">
      <c r="B133" t="s">
        <v>17</v>
      </c>
      <c r="C133" s="6">
        <v>0.52149999999999996</v>
      </c>
      <c r="D133" s="6">
        <v>0.4456</v>
      </c>
      <c r="E133" s="6">
        <v>0.4214</v>
      </c>
      <c r="F133" s="6">
        <v>0.49940000000000001</v>
      </c>
    </row>
    <row r="134" spans="2:6">
      <c r="B134" t="s">
        <v>459</v>
      </c>
      <c r="C134" s="6">
        <v>0.14680000000000001</v>
      </c>
      <c r="D134" s="6">
        <v>0.1017</v>
      </c>
      <c r="E134" s="6">
        <v>0.16569999999999999</v>
      </c>
      <c r="F134" s="6">
        <v>0.17249999999999999</v>
      </c>
    </row>
    <row r="135" spans="2:6">
      <c r="B135" t="s">
        <v>295</v>
      </c>
      <c r="C135" s="6">
        <v>6.8199999999999997E-2</v>
      </c>
      <c r="D135" s="6">
        <v>9.1700000000000004E-2</v>
      </c>
      <c r="E135" s="6">
        <v>2.9600000000000001E-2</v>
      </c>
      <c r="F135" s="6">
        <v>4.99E-2</v>
      </c>
    </row>
    <row r="136" spans="2:6">
      <c r="B136" t="s">
        <v>182</v>
      </c>
      <c r="C136" s="6">
        <v>5.8500000000000003E-2</v>
      </c>
      <c r="D136" s="6">
        <v>5.7599999999999998E-2</v>
      </c>
      <c r="E136" s="6">
        <v>4.6399999999999997E-2</v>
      </c>
      <c r="F136" s="6">
        <v>2.93E-2</v>
      </c>
    </row>
    <row r="137" spans="2:6">
      <c r="B137" t="s">
        <v>815</v>
      </c>
      <c r="C137" s="6">
        <v>9.2999999999999992E-3</v>
      </c>
      <c r="D137" s="6">
        <v>1.04E-2</v>
      </c>
      <c r="E137" s="6">
        <v>1.15E-2</v>
      </c>
      <c r="F137" s="6">
        <v>9.6799999999999997E-2</v>
      </c>
    </row>
    <row r="138" spans="2:6">
      <c r="B138" t="s">
        <v>201</v>
      </c>
      <c r="C138" s="6">
        <v>1.0800000000000001E-2</v>
      </c>
      <c r="D138" s="6">
        <v>5.0000000000000001E-3</v>
      </c>
      <c r="E138" s="6">
        <v>1.9E-3</v>
      </c>
      <c r="F138" s="6">
        <v>2.3E-3</v>
      </c>
    </row>
    <row r="139" spans="2:6">
      <c r="B139" t="s">
        <v>482</v>
      </c>
      <c r="C139" s="6">
        <v>2.0000000000000001E-4</v>
      </c>
      <c r="D139" s="6">
        <v>0</v>
      </c>
      <c r="E139" s="6">
        <v>4.4000000000000003E-3</v>
      </c>
      <c r="F139" s="6">
        <v>4.3E-3</v>
      </c>
    </row>
    <row r="140" spans="2:6">
      <c r="B140" t="s">
        <v>419</v>
      </c>
      <c r="C140" s="6">
        <v>5.8999999999999999E-3</v>
      </c>
      <c r="D140" s="6">
        <v>0</v>
      </c>
      <c r="E140" s="6">
        <v>0</v>
      </c>
      <c r="F140" s="6">
        <v>5.1000000000000004E-3</v>
      </c>
    </row>
    <row r="141" spans="2:6">
      <c r="B141" t="s">
        <v>13</v>
      </c>
      <c r="C141" s="6">
        <v>0.1216</v>
      </c>
      <c r="D141" s="6">
        <v>0.19739999999999999</v>
      </c>
      <c r="E141" s="6">
        <v>0.33789999999999998</v>
      </c>
      <c r="F141" s="6">
        <v>0.27739999999999998</v>
      </c>
    </row>
    <row r="142" spans="2:6">
      <c r="B142" t="s">
        <v>303</v>
      </c>
      <c r="C142" s="6">
        <v>0.52969999999999995</v>
      </c>
      <c r="D142" s="6">
        <v>0.34210000000000002</v>
      </c>
      <c r="E142" s="6">
        <v>0.40670000000000001</v>
      </c>
      <c r="F142" s="6">
        <v>0.39810000000000001</v>
      </c>
    </row>
    <row r="143" spans="2:6">
      <c r="B143" t="s">
        <v>335</v>
      </c>
      <c r="C143" s="6">
        <v>0.189</v>
      </c>
      <c r="D143" s="6">
        <v>0.36470000000000002</v>
      </c>
      <c r="E143" s="6">
        <v>0.42180000000000001</v>
      </c>
      <c r="F143" s="6">
        <v>0.48280000000000001</v>
      </c>
    </row>
    <row r="144" spans="2:6">
      <c r="B144" t="s">
        <v>305</v>
      </c>
      <c r="C144" s="6">
        <v>0.69330000000000003</v>
      </c>
      <c r="D144" s="6">
        <v>0.74470000000000003</v>
      </c>
      <c r="E144" s="6">
        <v>0.78720000000000001</v>
      </c>
      <c r="F144" s="6">
        <v>0.80940000000000001</v>
      </c>
    </row>
    <row r="145" spans="2:6">
      <c r="B145" t="s">
        <v>24</v>
      </c>
      <c r="C145" s="6">
        <v>0</v>
      </c>
      <c r="D145" s="6">
        <v>0</v>
      </c>
      <c r="E145" s="6">
        <v>0</v>
      </c>
      <c r="F145" s="6">
        <v>0</v>
      </c>
    </row>
    <row r="146" spans="2:6">
      <c r="B146" t="s">
        <v>421</v>
      </c>
      <c r="C146" s="6">
        <v>0.57389999999999997</v>
      </c>
      <c r="D146" s="6">
        <v>0.26619999999999999</v>
      </c>
      <c r="E146" s="6">
        <v>0.37909999999999999</v>
      </c>
      <c r="F146" s="6">
        <v>0.38990000000000002</v>
      </c>
    </row>
    <row r="147" spans="2:6">
      <c r="B147" t="s">
        <v>16</v>
      </c>
      <c r="C147" s="6">
        <v>0.25330000000000003</v>
      </c>
      <c r="D147" s="6">
        <v>0.1777</v>
      </c>
      <c r="E147" s="6">
        <v>0.1512</v>
      </c>
      <c r="F147" s="6">
        <v>0.1915</v>
      </c>
    </row>
    <row r="148" spans="2:6">
      <c r="B148" t="s">
        <v>142</v>
      </c>
      <c r="C148" s="6">
        <v>0.55579999999999996</v>
      </c>
      <c r="D148" s="6">
        <v>0.59319999999999995</v>
      </c>
      <c r="E148" s="6">
        <v>0.71619999999999995</v>
      </c>
      <c r="F148" s="6">
        <v>1.1367</v>
      </c>
    </row>
    <row r="149" spans="2:6">
      <c r="B149" t="s">
        <v>202</v>
      </c>
      <c r="C149" s="6">
        <v>0.46860000000000002</v>
      </c>
      <c r="D149" s="6">
        <v>0.44700000000000001</v>
      </c>
      <c r="E149" s="6">
        <v>0.3841</v>
      </c>
      <c r="F149" s="6">
        <v>0.39510000000000001</v>
      </c>
    </row>
    <row r="150" spans="2:6">
      <c r="B150" t="s">
        <v>279</v>
      </c>
      <c r="C150" s="6">
        <v>9.3100000000000002E-2</v>
      </c>
      <c r="D150" s="6">
        <v>7.8600000000000003E-2</v>
      </c>
      <c r="E150" s="6">
        <v>7.3499999999999996E-2</v>
      </c>
      <c r="F150" s="6">
        <v>6.88E-2</v>
      </c>
    </row>
    <row r="151" spans="2:6">
      <c r="B151" t="s">
        <v>835</v>
      </c>
      <c r="C151" s="6">
        <v>0.2069</v>
      </c>
      <c r="D151" s="6">
        <v>0.25700000000000001</v>
      </c>
      <c r="E151" s="6">
        <v>0.29949999999999999</v>
      </c>
      <c r="F151" s="6">
        <v>0.3584</v>
      </c>
    </row>
    <row r="152" spans="2:6">
      <c r="B152" t="s">
        <v>143</v>
      </c>
      <c r="C152" s="6">
        <v>0.30669999999999997</v>
      </c>
      <c r="D152" s="6">
        <v>0.94540000000000002</v>
      </c>
      <c r="E152" s="6">
        <v>1.0386</v>
      </c>
      <c r="F152" s="6">
        <v>0.73160000000000003</v>
      </c>
    </row>
    <row r="153" spans="2:6">
      <c r="B153" t="s">
        <v>423</v>
      </c>
      <c r="C153" s="6">
        <v>0.1837</v>
      </c>
      <c r="D153" s="6">
        <v>0.28460000000000002</v>
      </c>
      <c r="E153" s="6">
        <v>0.182</v>
      </c>
      <c r="F153" s="6">
        <v>0.32790000000000002</v>
      </c>
    </row>
    <row r="154" spans="2:6">
      <c r="B154" t="s">
        <v>832</v>
      </c>
      <c r="C154" s="6">
        <v>0.10730000000000001</v>
      </c>
      <c r="D154" s="6">
        <v>9.8299999999999998E-2</v>
      </c>
      <c r="E154" s="6">
        <v>4.3099999999999999E-2</v>
      </c>
      <c r="F154" s="6">
        <v>1E-3</v>
      </c>
    </row>
    <row r="155" spans="2:6">
      <c r="B155" t="s">
        <v>229</v>
      </c>
      <c r="C155" s="6">
        <v>0.15909999999999999</v>
      </c>
      <c r="D155" s="6">
        <v>5.1900000000000002E-2</v>
      </c>
      <c r="E155" s="6">
        <v>0.10349999999999999</v>
      </c>
      <c r="F155" s="6">
        <v>0.10150000000000001</v>
      </c>
    </row>
    <row r="156" spans="2:6">
      <c r="B156" t="s">
        <v>167</v>
      </c>
      <c r="C156" s="6">
        <v>0.22239999999999999</v>
      </c>
      <c r="D156" s="6">
        <v>0.18160000000000001</v>
      </c>
      <c r="E156" s="6">
        <v>0</v>
      </c>
      <c r="F156" s="6">
        <v>0</v>
      </c>
    </row>
    <row r="157" spans="2:6">
      <c r="B157" t="s">
        <v>76</v>
      </c>
      <c r="C157" s="6">
        <v>0.39810000000000001</v>
      </c>
      <c r="D157" s="6">
        <v>0.38779999999999998</v>
      </c>
      <c r="E157" s="6">
        <v>0.3851</v>
      </c>
      <c r="F157" s="6">
        <v>0.35880000000000001</v>
      </c>
    </row>
    <row r="158" spans="2:6">
      <c r="B158" t="s">
        <v>429</v>
      </c>
      <c r="C158" s="6">
        <v>0</v>
      </c>
      <c r="D158" s="6">
        <v>0</v>
      </c>
      <c r="E158" s="6">
        <v>0.19450000000000001</v>
      </c>
      <c r="F158" s="6">
        <v>0.57920000000000005</v>
      </c>
    </row>
    <row r="159" spans="2:6">
      <c r="B159" t="s">
        <v>393</v>
      </c>
      <c r="C159" s="6">
        <v>1.66E-2</v>
      </c>
      <c r="D159" s="6">
        <v>2.9600000000000001E-2</v>
      </c>
      <c r="E159" s="6">
        <v>2.41E-2</v>
      </c>
      <c r="F159" s="6">
        <v>2.2499999999999999E-2</v>
      </c>
    </row>
    <row r="160" spans="2:6">
      <c r="B160" t="s">
        <v>79</v>
      </c>
      <c r="C160" s="6">
        <v>0.40949999999999998</v>
      </c>
      <c r="D160" s="6">
        <v>0.45329999999999998</v>
      </c>
      <c r="E160" s="6">
        <v>0.45579999999999998</v>
      </c>
      <c r="F160" s="6">
        <v>0.41239999999999999</v>
      </c>
    </row>
    <row r="161" spans="2:6">
      <c r="B161" t="s">
        <v>484</v>
      </c>
      <c r="C161" s="6">
        <v>0.1847</v>
      </c>
      <c r="D161" s="6">
        <v>0.30819999999999997</v>
      </c>
      <c r="E161" s="6">
        <v>0.1855</v>
      </c>
      <c r="F161" s="6">
        <v>0.26150000000000001</v>
      </c>
    </row>
    <row r="162" spans="2:6">
      <c r="B162" t="s">
        <v>120</v>
      </c>
      <c r="C162" s="6">
        <v>7.7499999999999999E-2</v>
      </c>
      <c r="D162" s="6">
        <v>0.23250000000000001</v>
      </c>
      <c r="E162" s="6">
        <v>0.24590000000000001</v>
      </c>
      <c r="F162" s="6">
        <v>0.23719999999999999</v>
      </c>
    </row>
    <row r="163" spans="2:6">
      <c r="B163" t="s">
        <v>363</v>
      </c>
      <c r="C163" s="6">
        <v>0.36420000000000002</v>
      </c>
      <c r="D163" s="6">
        <v>0.31140000000000001</v>
      </c>
      <c r="E163" s="6">
        <v>0.3085</v>
      </c>
      <c r="F163" s="6">
        <v>0.1201</v>
      </c>
    </row>
    <row r="164" spans="2:6">
      <c r="B164" t="s">
        <v>254</v>
      </c>
      <c r="C164" s="6">
        <v>0.1893</v>
      </c>
      <c r="D164" s="6">
        <v>0.25609999999999999</v>
      </c>
      <c r="E164" s="6">
        <v>0.2979</v>
      </c>
      <c r="F164" s="6">
        <v>0.2452</v>
      </c>
    </row>
    <row r="165" spans="2:6">
      <c r="B165" t="s">
        <v>497</v>
      </c>
      <c r="C165" s="6">
        <v>0.40229999999999999</v>
      </c>
      <c r="D165" s="6">
        <v>0.34649999999999997</v>
      </c>
      <c r="E165" s="6">
        <v>0.37259999999999999</v>
      </c>
      <c r="F165" s="6">
        <v>8.2900000000000001E-2</v>
      </c>
    </row>
    <row r="166" spans="2:6">
      <c r="B166" t="s">
        <v>811</v>
      </c>
      <c r="C166" s="6">
        <v>0.30609999999999998</v>
      </c>
      <c r="D166" s="6">
        <v>0.33460000000000001</v>
      </c>
      <c r="E166" s="6">
        <v>0.37040000000000001</v>
      </c>
      <c r="F166" s="6">
        <v>0.39960000000000001</v>
      </c>
    </row>
    <row r="167" spans="2:6">
      <c r="B167" t="s">
        <v>383</v>
      </c>
      <c r="C167" s="6">
        <v>6.6349</v>
      </c>
      <c r="D167" s="6">
        <v>8.1390999999999991</v>
      </c>
      <c r="E167" t="s">
        <v>4511</v>
      </c>
      <c r="F167" t="s">
        <v>4514</v>
      </c>
    </row>
    <row r="168" spans="2:6">
      <c r="B168" t="s">
        <v>114</v>
      </c>
      <c r="C168" s="6">
        <v>0.38600000000000001</v>
      </c>
      <c r="D168" s="6">
        <v>0.33350000000000002</v>
      </c>
      <c r="E168" s="6">
        <v>0.34460000000000002</v>
      </c>
      <c r="F168" s="6">
        <v>0.28039999999999998</v>
      </c>
    </row>
    <row r="169" spans="2:6">
      <c r="B169" t="s">
        <v>387</v>
      </c>
      <c r="C169" s="6">
        <v>0.13150000000000001</v>
      </c>
      <c r="D169" s="6">
        <v>0.1101</v>
      </c>
      <c r="E169" s="6">
        <v>0.1724</v>
      </c>
      <c r="F169" s="6">
        <v>0.1744</v>
      </c>
    </row>
    <row r="170" spans="2:6">
      <c r="B170" t="s">
        <v>138</v>
      </c>
      <c r="C170" s="6">
        <v>0.48630000000000001</v>
      </c>
      <c r="D170" s="6">
        <v>0.50319999999999998</v>
      </c>
      <c r="E170" s="6">
        <v>0.46760000000000002</v>
      </c>
      <c r="F170" s="6">
        <v>0.44180000000000003</v>
      </c>
    </row>
    <row r="171" spans="2:6">
      <c r="B171" t="s">
        <v>413</v>
      </c>
      <c r="C171" s="6">
        <v>4.7199999999999999E-2</v>
      </c>
      <c r="D171" s="6">
        <v>4.19E-2</v>
      </c>
      <c r="E171" s="6">
        <v>9.4700000000000006E-2</v>
      </c>
      <c r="F171" s="6">
        <v>0.17469999999999999</v>
      </c>
    </row>
    <row r="172" spans="2:6">
      <c r="B172" t="s">
        <v>399</v>
      </c>
      <c r="C172" s="6">
        <v>2.75E-2</v>
      </c>
      <c r="D172" s="6">
        <v>5.6899999999999999E-2</v>
      </c>
      <c r="E172" s="6">
        <v>5.6300000000000003E-2</v>
      </c>
      <c r="F172" s="6">
        <v>5.5899999999999998E-2</v>
      </c>
    </row>
    <row r="173" spans="2:6">
      <c r="B173" t="s">
        <v>64</v>
      </c>
      <c r="C173" s="6">
        <v>0.3659</v>
      </c>
      <c r="D173" s="6">
        <v>0.53159999999999996</v>
      </c>
      <c r="E173" s="6">
        <v>0.36430000000000001</v>
      </c>
      <c r="F173" s="6">
        <v>0.42609999999999998</v>
      </c>
    </row>
    <row r="174" spans="2:6">
      <c r="B174" t="s">
        <v>301</v>
      </c>
      <c r="C174" s="6">
        <v>0.13769999999999999</v>
      </c>
      <c r="D174" s="6">
        <v>0</v>
      </c>
      <c r="E174" s="6">
        <v>0.2054</v>
      </c>
      <c r="F174" s="6">
        <v>0.1484</v>
      </c>
    </row>
    <row r="175" spans="2:6">
      <c r="B175" t="s">
        <v>223</v>
      </c>
      <c r="C175" s="6">
        <v>0.50929999999999997</v>
      </c>
      <c r="D175" s="6">
        <v>0.52590000000000003</v>
      </c>
      <c r="E175" s="6">
        <v>0.54530000000000001</v>
      </c>
      <c r="F175" s="6">
        <v>0.54530000000000001</v>
      </c>
    </row>
    <row r="176" spans="2:6">
      <c r="B176" t="s">
        <v>173</v>
      </c>
      <c r="C176" s="6">
        <v>2.7900000000000001E-2</v>
      </c>
      <c r="D176" s="6">
        <v>3.5099999999999999E-2</v>
      </c>
      <c r="E176" s="6">
        <v>4.3299999999999998E-2</v>
      </c>
      <c r="F176" s="6">
        <v>5.3900000000000003E-2</v>
      </c>
    </row>
    <row r="177" spans="2:6">
      <c r="B177" t="s">
        <v>130</v>
      </c>
      <c r="C177" s="6">
        <v>0.31380000000000002</v>
      </c>
      <c r="D177" s="6">
        <v>0.30859999999999999</v>
      </c>
      <c r="E177" s="6">
        <v>0.25069999999999998</v>
      </c>
      <c r="F177" s="6">
        <v>0.22140000000000001</v>
      </c>
    </row>
    <row r="178" spans="2:6">
      <c r="B178" t="s">
        <v>351</v>
      </c>
      <c r="C178" s="6">
        <v>0.13500000000000001</v>
      </c>
      <c r="D178" s="6">
        <v>0.13850000000000001</v>
      </c>
      <c r="E178" s="6">
        <v>0.15340000000000001</v>
      </c>
      <c r="F178" s="6">
        <v>0.17829999999999999</v>
      </c>
    </row>
    <row r="179" spans="2:6">
      <c r="B179" t="s">
        <v>176</v>
      </c>
      <c r="C179" s="6">
        <v>0</v>
      </c>
      <c r="D179" s="6">
        <v>0</v>
      </c>
      <c r="E179" s="6">
        <v>0</v>
      </c>
      <c r="F179" s="6">
        <v>7.3599999999999999E-2</v>
      </c>
    </row>
    <row r="180" spans="2:6">
      <c r="B180" t="s">
        <v>463</v>
      </c>
      <c r="C180" s="6">
        <v>0.13600000000000001</v>
      </c>
      <c r="D180" s="6">
        <v>0.1593</v>
      </c>
      <c r="E180" s="6">
        <v>0.35039999999999999</v>
      </c>
      <c r="F180" s="6">
        <v>0.25850000000000001</v>
      </c>
    </row>
    <row r="181" spans="2:6">
      <c r="B181" t="s">
        <v>1</v>
      </c>
      <c r="C181" s="6">
        <v>7.3099999999999998E-2</v>
      </c>
      <c r="D181" s="6">
        <v>7.7200000000000005E-2</v>
      </c>
      <c r="E181" s="6">
        <v>0.1241</v>
      </c>
      <c r="F181" s="6">
        <v>0.1027</v>
      </c>
    </row>
    <row r="182" spans="2:6">
      <c r="B182" t="s">
        <v>473</v>
      </c>
      <c r="C182" s="6">
        <v>0.4728</v>
      </c>
      <c r="D182" s="6">
        <v>0.42670000000000002</v>
      </c>
      <c r="E182" s="6">
        <v>0.26440000000000002</v>
      </c>
      <c r="F182" s="6">
        <v>0.2316</v>
      </c>
    </row>
    <row r="183" spans="2:6">
      <c r="B183" t="s">
        <v>122</v>
      </c>
      <c r="C183" s="6">
        <v>0</v>
      </c>
      <c r="D183" s="6">
        <v>0</v>
      </c>
      <c r="E183" s="6">
        <v>0</v>
      </c>
      <c r="F183" s="6">
        <v>0</v>
      </c>
    </row>
    <row r="184" spans="2:6">
      <c r="B184" t="s">
        <v>320</v>
      </c>
      <c r="C184" s="6">
        <v>0</v>
      </c>
      <c r="D184" s="6">
        <v>0</v>
      </c>
      <c r="E184" s="6">
        <v>0</v>
      </c>
      <c r="F184" s="6">
        <v>0</v>
      </c>
    </row>
    <row r="185" spans="2:6">
      <c r="B185" t="s">
        <v>255</v>
      </c>
      <c r="C185" s="6">
        <v>2.8E-3</v>
      </c>
      <c r="D185" s="6">
        <v>1.35E-2</v>
      </c>
      <c r="E185" s="6">
        <v>1.0699999999999999E-2</v>
      </c>
      <c r="F185" s="6">
        <v>0.1182</v>
      </c>
    </row>
    <row r="186" spans="2:6">
      <c r="B186" t="s">
        <v>365</v>
      </c>
      <c r="C186" s="6">
        <v>0.82989999999999997</v>
      </c>
      <c r="D186" s="6">
        <v>0.441</v>
      </c>
      <c r="E186" s="6">
        <v>0.36109999999999998</v>
      </c>
      <c r="F186" s="6">
        <v>0.30990000000000001</v>
      </c>
    </row>
    <row r="187" spans="2:6">
      <c r="B187" t="s">
        <v>37</v>
      </c>
      <c r="C187" s="6">
        <v>2E-3</v>
      </c>
      <c r="D187" s="6">
        <v>2.5000000000000001E-3</v>
      </c>
      <c r="E187" s="6">
        <v>2.5000000000000001E-3</v>
      </c>
      <c r="F187" s="6">
        <v>8.2000000000000007E-3</v>
      </c>
    </row>
    <row r="188" spans="2:6">
      <c r="B188" t="s">
        <v>389</v>
      </c>
      <c r="C188" s="6">
        <v>7.2400000000000006E-2</v>
      </c>
      <c r="D188" s="6">
        <v>0.10580000000000001</v>
      </c>
      <c r="E188" s="6">
        <v>0.1386</v>
      </c>
      <c r="F188" s="6">
        <v>0.19009999999999999</v>
      </c>
    </row>
    <row r="189" spans="2:6">
      <c r="B189" t="s">
        <v>271</v>
      </c>
      <c r="C189" s="6">
        <v>0.24079999999999999</v>
      </c>
      <c r="D189" s="6">
        <v>0.2379</v>
      </c>
      <c r="E189" s="6">
        <v>0.31459999999999999</v>
      </c>
      <c r="F189" s="6">
        <v>0.3175</v>
      </c>
    </row>
    <row r="190" spans="2:6">
      <c r="B190" t="s">
        <v>234</v>
      </c>
      <c r="C190" s="6">
        <v>0.28710000000000002</v>
      </c>
      <c r="D190" s="6">
        <v>0.35260000000000002</v>
      </c>
      <c r="E190" s="6">
        <v>0.38269999999999998</v>
      </c>
      <c r="F190" s="6">
        <v>0.33429999999999999</v>
      </c>
    </row>
    <row r="191" spans="2:6">
      <c r="B191" t="s">
        <v>272</v>
      </c>
      <c r="C191" s="6">
        <v>0</v>
      </c>
      <c r="D191" s="6">
        <v>0</v>
      </c>
      <c r="E191" s="6">
        <v>0</v>
      </c>
      <c r="F191" s="6">
        <v>0</v>
      </c>
    </row>
    <row r="192" spans="2:6">
      <c r="B192" t="s">
        <v>159</v>
      </c>
      <c r="C192" s="6">
        <v>0.33689999999999998</v>
      </c>
      <c r="D192" s="6">
        <v>0.31459999999999999</v>
      </c>
      <c r="E192" s="6">
        <v>0.30399999999999999</v>
      </c>
      <c r="F192" s="6">
        <v>0.29580000000000001</v>
      </c>
    </row>
    <row r="193" spans="2:6">
      <c r="B193" t="s">
        <v>34</v>
      </c>
      <c r="C193" s="6">
        <v>0.53739999999999999</v>
      </c>
      <c r="D193" s="6">
        <v>0.51829999999999998</v>
      </c>
      <c r="E193" s="6">
        <v>0.49059999999999998</v>
      </c>
      <c r="F193" s="6">
        <v>0.45200000000000001</v>
      </c>
    </row>
    <row r="194" spans="2:6">
      <c r="B194" t="s">
        <v>214</v>
      </c>
      <c r="C194" s="6">
        <v>0.30130000000000001</v>
      </c>
      <c r="D194" s="6">
        <v>0.33040000000000003</v>
      </c>
      <c r="E194" s="6">
        <v>0.42749999999999999</v>
      </c>
      <c r="F194" s="6">
        <v>0.46939999999999998</v>
      </c>
    </row>
    <row r="195" spans="2:6">
      <c r="B195" t="s">
        <v>5</v>
      </c>
      <c r="C195" s="6">
        <v>0.44190000000000002</v>
      </c>
      <c r="D195" s="6">
        <v>0.38969999999999999</v>
      </c>
      <c r="E195" s="6">
        <v>0.39779999999999999</v>
      </c>
      <c r="F195" s="6">
        <v>0.41810000000000003</v>
      </c>
    </row>
    <row r="196" spans="2:6">
      <c r="B196" t="s">
        <v>506</v>
      </c>
      <c r="C196" s="6">
        <v>0.62229999999999996</v>
      </c>
      <c r="D196" s="6">
        <v>0.60699999999999998</v>
      </c>
      <c r="E196" s="6">
        <v>0.63390000000000002</v>
      </c>
      <c r="F196" s="6">
        <v>0.57320000000000004</v>
      </c>
    </row>
    <row r="197" spans="2:6">
      <c r="B197" t="s">
        <v>322</v>
      </c>
      <c r="C197" s="6">
        <v>0.13639999999999999</v>
      </c>
      <c r="D197" s="6">
        <v>0.11020000000000001</v>
      </c>
      <c r="E197" s="6">
        <v>7.5200000000000003E-2</v>
      </c>
      <c r="F197" s="6">
        <v>5.2999999999999999E-2</v>
      </c>
    </row>
    <row r="198" spans="2:6">
      <c r="B198" t="s">
        <v>388</v>
      </c>
      <c r="C198" s="6">
        <v>0.34150000000000003</v>
      </c>
      <c r="D198" s="6">
        <v>0.27410000000000001</v>
      </c>
      <c r="E198" s="6">
        <v>0.20449999999999999</v>
      </c>
      <c r="F198" s="6">
        <v>0.1053</v>
      </c>
    </row>
    <row r="199" spans="2:6">
      <c r="B199" t="s">
        <v>115</v>
      </c>
      <c r="C199" s="6">
        <v>7.3400000000000007E-2</v>
      </c>
      <c r="D199" s="6">
        <v>5.7799999999999997E-2</v>
      </c>
      <c r="E199" s="6">
        <v>8.1199999999999994E-2</v>
      </c>
      <c r="F199" s="6">
        <v>8.8000000000000005E-3</v>
      </c>
    </row>
    <row r="200" spans="2:6">
      <c r="B200" t="s">
        <v>161</v>
      </c>
      <c r="C200" s="6">
        <v>3.5999999999999999E-3</v>
      </c>
      <c r="D200" s="6">
        <v>3.7000000000000002E-3</v>
      </c>
      <c r="E200" s="6">
        <v>4.1999999999999997E-3</v>
      </c>
      <c r="F200" s="6">
        <v>4.0000000000000001E-3</v>
      </c>
    </row>
    <row r="201" spans="2:6">
      <c r="B201" t="s">
        <v>132</v>
      </c>
      <c r="C201" s="6">
        <v>0.1928</v>
      </c>
      <c r="D201" s="6">
        <v>0.30509999999999998</v>
      </c>
      <c r="E201" s="6">
        <v>0.32329999999999998</v>
      </c>
      <c r="F201" s="6">
        <v>0.3871</v>
      </c>
    </row>
    <row r="202" spans="2:6">
      <c r="B202" t="s">
        <v>117</v>
      </c>
      <c r="C202" s="6">
        <v>7.0599999999999996E-2</v>
      </c>
      <c r="D202" s="6">
        <v>7.4399999999999994E-2</v>
      </c>
      <c r="E202" s="6">
        <v>5.9900000000000002E-2</v>
      </c>
      <c r="F202" s="6">
        <v>6.0699999999999997E-2</v>
      </c>
    </row>
    <row r="203" spans="2:6">
      <c r="B203" t="s">
        <v>84</v>
      </c>
      <c r="C203" s="6">
        <v>0.27279999999999999</v>
      </c>
      <c r="D203" s="6">
        <v>0.27510000000000001</v>
      </c>
      <c r="E203" s="6">
        <v>0.30599999999999999</v>
      </c>
      <c r="F203" s="6">
        <v>0.23880000000000001</v>
      </c>
    </row>
    <row r="204" spans="2:6">
      <c r="B204" t="s">
        <v>288</v>
      </c>
      <c r="C204" s="6">
        <v>0.60429999999999995</v>
      </c>
      <c r="D204" s="6">
        <v>0.6452</v>
      </c>
      <c r="E204" s="6">
        <v>0.59799999999999998</v>
      </c>
      <c r="F204" s="6">
        <v>0.61119999999999997</v>
      </c>
    </row>
    <row r="205" spans="2:6">
      <c r="B205" t="s">
        <v>430</v>
      </c>
      <c r="C205" s="6">
        <v>0.33479999999999999</v>
      </c>
      <c r="D205" s="6">
        <v>0.24679999999999999</v>
      </c>
      <c r="E205" s="6">
        <v>0.22550000000000001</v>
      </c>
      <c r="F205" s="6">
        <v>7.1800000000000003E-2</v>
      </c>
    </row>
    <row r="206" spans="2:6">
      <c r="B206" t="s">
        <v>304</v>
      </c>
      <c r="C206" s="6">
        <v>8.5400000000000004E-2</v>
      </c>
      <c r="D206" s="6">
        <v>5.79E-2</v>
      </c>
      <c r="E206" s="6">
        <v>0.12620000000000001</v>
      </c>
      <c r="F206" s="6">
        <v>0.2107</v>
      </c>
    </row>
    <row r="207" spans="2:6">
      <c r="B207" t="s">
        <v>411</v>
      </c>
      <c r="C207" s="6">
        <v>0</v>
      </c>
      <c r="D207" s="6">
        <v>0</v>
      </c>
      <c r="E207" s="6">
        <v>1.5299999999999999E-2</v>
      </c>
      <c r="F207" s="6">
        <v>1.8700000000000001E-2</v>
      </c>
    </row>
    <row r="208" spans="2:6">
      <c r="B208" t="s">
        <v>170</v>
      </c>
      <c r="C208" s="6">
        <v>0.26850000000000002</v>
      </c>
      <c r="D208" s="6">
        <v>0.2382</v>
      </c>
      <c r="E208" s="6">
        <v>0.19270000000000001</v>
      </c>
      <c r="F208" s="6">
        <v>0.1789</v>
      </c>
    </row>
    <row r="209" spans="2:6">
      <c r="B209" t="s">
        <v>225</v>
      </c>
      <c r="C209" s="6">
        <v>0.1183</v>
      </c>
      <c r="D209" s="6">
        <v>0.1525</v>
      </c>
      <c r="E209" s="6">
        <v>0.22120000000000001</v>
      </c>
      <c r="F209" s="6">
        <v>0.24909999999999999</v>
      </c>
    </row>
    <row r="210" spans="2:6">
      <c r="B210" t="s">
        <v>456</v>
      </c>
      <c r="C210" s="6">
        <v>0.56140000000000001</v>
      </c>
      <c r="D210" s="6">
        <v>0.56710000000000005</v>
      </c>
      <c r="E210" s="6">
        <v>0.29210000000000003</v>
      </c>
      <c r="F210" s="6">
        <v>0.2928</v>
      </c>
    </row>
    <row r="211" spans="2:6">
      <c r="B211" t="s">
        <v>195</v>
      </c>
      <c r="C211" s="6">
        <v>0.35589999999999999</v>
      </c>
      <c r="D211" s="6">
        <v>0.34620000000000001</v>
      </c>
      <c r="E211" s="6">
        <v>0.34889999999999999</v>
      </c>
      <c r="F211" s="6">
        <v>0.30499999999999999</v>
      </c>
    </row>
    <row r="212" spans="2:6">
      <c r="B212" t="s">
        <v>319</v>
      </c>
      <c r="C212" s="6">
        <v>0.36299999999999999</v>
      </c>
      <c r="D212" s="6">
        <v>0.31969999999999998</v>
      </c>
      <c r="E212" s="6">
        <v>0.2359</v>
      </c>
      <c r="F212" s="6">
        <v>0.19600000000000001</v>
      </c>
    </row>
    <row r="213" spans="2:6">
      <c r="B213" t="s">
        <v>813</v>
      </c>
      <c r="C213" s="6">
        <v>0.4657</v>
      </c>
      <c r="D213" s="6">
        <v>0.44679999999999997</v>
      </c>
      <c r="E213" s="6">
        <v>0.46939999999999998</v>
      </c>
      <c r="F213" s="6">
        <v>0.4793</v>
      </c>
    </row>
    <row r="214" spans="2:6">
      <c r="B214" t="s">
        <v>148</v>
      </c>
      <c r="C214" s="6">
        <v>0.11070000000000001</v>
      </c>
      <c r="D214" s="6">
        <v>3.2399999999999998E-2</v>
      </c>
      <c r="E214" s="6">
        <v>2.5100000000000001E-2</v>
      </c>
      <c r="F214" s="6">
        <v>2.01E-2</v>
      </c>
    </row>
    <row r="215" spans="2:6">
      <c r="B215" t="s">
        <v>124</v>
      </c>
      <c r="C215" s="6">
        <v>0.67330000000000001</v>
      </c>
      <c r="D215" s="6">
        <v>0.70050000000000001</v>
      </c>
      <c r="E215" s="6">
        <v>0.71899999999999997</v>
      </c>
      <c r="F215" s="6">
        <v>0.73680000000000001</v>
      </c>
    </row>
    <row r="216" spans="2:6">
      <c r="B216" t="s">
        <v>88</v>
      </c>
      <c r="C216" s="6">
        <v>0.13339999999999999</v>
      </c>
      <c r="D216" s="6">
        <v>0.15123</v>
      </c>
      <c r="E216" s="6">
        <v>0.14230999999999999</v>
      </c>
      <c r="F216" s="6">
        <v>9.0209999999999999E-2</v>
      </c>
    </row>
    <row r="217" spans="2:6">
      <c r="B217" t="s">
        <v>297</v>
      </c>
      <c r="C217" s="6">
        <v>3.3E-3</v>
      </c>
      <c r="D217" s="6">
        <v>5.4999999999999997E-3</v>
      </c>
      <c r="E217" s="6">
        <v>4.8999999999999998E-3</v>
      </c>
      <c r="F217" s="6">
        <v>2.8E-3</v>
      </c>
    </row>
    <row r="218" spans="2:6">
      <c r="B218" t="s">
        <v>475</v>
      </c>
      <c r="C218" s="6">
        <v>0.36120000000000002</v>
      </c>
      <c r="D218" s="6">
        <v>0.34360000000000002</v>
      </c>
      <c r="E218" s="6">
        <v>0.3715</v>
      </c>
      <c r="F218" s="6">
        <v>0.41720000000000002</v>
      </c>
    </row>
    <row r="219" spans="2:6">
      <c r="B219" t="s">
        <v>377</v>
      </c>
      <c r="C219" s="6">
        <v>2.7000000000000001E-3</v>
      </c>
      <c r="D219" s="6">
        <v>0</v>
      </c>
      <c r="E219" s="6">
        <v>0</v>
      </c>
      <c r="F219" s="6">
        <v>0</v>
      </c>
    </row>
    <row r="220" spans="2:6">
      <c r="B220" t="s">
        <v>818</v>
      </c>
      <c r="C220" s="6">
        <v>2.8999999999999998E-3</v>
      </c>
      <c r="D220" s="6">
        <v>0.31309999999999999</v>
      </c>
      <c r="E220" s="6">
        <v>0.3</v>
      </c>
      <c r="F220" s="6">
        <v>0.25840000000000002</v>
      </c>
    </row>
    <row r="221" spans="2:6">
      <c r="B221" t="s">
        <v>213</v>
      </c>
      <c r="C221" s="6">
        <v>3.3700000000000001E-2</v>
      </c>
      <c r="D221" s="6">
        <v>9.8599999999999993E-2</v>
      </c>
      <c r="E221" s="6">
        <v>2.3E-3</v>
      </c>
      <c r="F221" s="6">
        <v>1.5E-3</v>
      </c>
    </row>
    <row r="222" spans="2:6">
      <c r="B222" t="s">
        <v>290</v>
      </c>
      <c r="C222" s="6">
        <v>0.15379999999999999</v>
      </c>
      <c r="D222" s="6">
        <v>0.21560000000000001</v>
      </c>
      <c r="E222" s="6">
        <v>0.23910000000000001</v>
      </c>
      <c r="F222" s="6">
        <v>0.26450000000000001</v>
      </c>
    </row>
    <row r="223" spans="2:6">
      <c r="B223" t="s">
        <v>504</v>
      </c>
      <c r="C223" s="6">
        <v>0.38800000000000001</v>
      </c>
      <c r="D223" s="6">
        <v>0.51549999999999996</v>
      </c>
      <c r="E223" s="6">
        <v>0.54239999999999999</v>
      </c>
      <c r="F223" s="6">
        <v>0.25719999999999998</v>
      </c>
    </row>
    <row r="224" spans="2:6">
      <c r="B224" t="s">
        <v>123</v>
      </c>
      <c r="C224" s="6">
        <v>0.311</v>
      </c>
      <c r="D224" s="6">
        <v>0.37630000000000002</v>
      </c>
      <c r="E224" s="6">
        <v>0.33829999999999999</v>
      </c>
      <c r="F224" s="6">
        <v>0.35260000000000002</v>
      </c>
    </row>
    <row r="225" spans="2:6">
      <c r="B225" t="s">
        <v>50</v>
      </c>
      <c r="C225" s="6">
        <v>0.61799999999999999</v>
      </c>
      <c r="D225" s="6">
        <v>0.67230000000000001</v>
      </c>
      <c r="E225" s="6">
        <v>0.63970000000000005</v>
      </c>
      <c r="F225" s="6">
        <v>0.74909999999999999</v>
      </c>
    </row>
    <row r="226" spans="2:6">
      <c r="B226" t="s">
        <v>198</v>
      </c>
      <c r="C226" s="6">
        <v>2.0999999999999999E-3</v>
      </c>
      <c r="D226" s="6">
        <v>0.12690000000000001</v>
      </c>
      <c r="E226" s="6">
        <v>7.6399999999999996E-2</v>
      </c>
      <c r="F226" s="6">
        <v>3.1300000000000001E-2</v>
      </c>
    </row>
    <row r="227" spans="2:6">
      <c r="B227" t="s">
        <v>465</v>
      </c>
      <c r="C227" s="6">
        <v>0</v>
      </c>
      <c r="D227" s="6">
        <v>0</v>
      </c>
      <c r="E227" s="6">
        <v>0</v>
      </c>
      <c r="F227" s="6">
        <v>0</v>
      </c>
    </row>
    <row r="228" spans="2:6">
      <c r="B228" t="s">
        <v>70</v>
      </c>
      <c r="C228" s="6">
        <v>0.28520000000000001</v>
      </c>
      <c r="D228" s="6">
        <v>0.28050000000000003</v>
      </c>
      <c r="E228" s="6">
        <v>0.35730000000000001</v>
      </c>
      <c r="F228" s="6">
        <v>0.33439999999999998</v>
      </c>
    </row>
    <row r="229" spans="2:6">
      <c r="B229" t="s">
        <v>112</v>
      </c>
      <c r="C229" s="6">
        <v>0.52539999999999998</v>
      </c>
      <c r="D229" s="6">
        <v>0.5554</v>
      </c>
      <c r="E229" s="6">
        <v>0.46400000000000002</v>
      </c>
      <c r="F229" s="6">
        <v>0.6694</v>
      </c>
    </row>
    <row r="230" spans="2:6">
      <c r="B230" t="s">
        <v>378</v>
      </c>
      <c r="C230" s="6">
        <v>8.3000000000000004E-2</v>
      </c>
      <c r="D230" s="6">
        <v>7.0199999999999999E-2</v>
      </c>
      <c r="E230" s="6">
        <v>5.4399999999999997E-2</v>
      </c>
      <c r="F230" s="6">
        <v>3.1600000000000003E-2</v>
      </c>
    </row>
    <row r="231" spans="2:6">
      <c r="B231" t="s">
        <v>231</v>
      </c>
      <c r="C231" s="6">
        <v>2.4053</v>
      </c>
      <c r="D231" s="6">
        <v>2.3357999999999999</v>
      </c>
      <c r="E231" s="6">
        <v>2.5291000000000001</v>
      </c>
      <c r="F231" s="6">
        <v>3.3472</v>
      </c>
    </row>
    <row r="232" spans="2:6">
      <c r="B232" t="s">
        <v>505</v>
      </c>
      <c r="C232" s="6">
        <v>0.17560000000000001</v>
      </c>
      <c r="D232" s="6">
        <v>0.13539999999999999</v>
      </c>
      <c r="E232" s="6">
        <v>0.14099999999999999</v>
      </c>
      <c r="F232" s="6">
        <v>0.2044</v>
      </c>
    </row>
    <row r="233" spans="2:6">
      <c r="B233" t="s">
        <v>83</v>
      </c>
      <c r="C233" s="6">
        <v>0.3049</v>
      </c>
      <c r="D233" s="6">
        <v>0.30409999999999998</v>
      </c>
      <c r="E233" s="6">
        <v>0.26440000000000002</v>
      </c>
      <c r="F233" s="6">
        <v>0.34499999999999997</v>
      </c>
    </row>
    <row r="234" spans="2:6">
      <c r="B234" t="s">
        <v>483</v>
      </c>
      <c r="C234" s="6">
        <v>3.7000000000000002E-3</v>
      </c>
      <c r="D234" s="6">
        <v>8.9999999999999998E-4</v>
      </c>
      <c r="E234" s="6">
        <v>2.0000000000000001E-4</v>
      </c>
      <c r="F234" s="6">
        <v>0</v>
      </c>
    </row>
    <row r="235" spans="2:6">
      <c r="B235" t="s">
        <v>80</v>
      </c>
      <c r="C235" s="6">
        <v>0.45839999999999997</v>
      </c>
      <c r="D235" s="6">
        <v>0.40329999999999999</v>
      </c>
      <c r="E235" s="6">
        <v>0.39979999999999999</v>
      </c>
      <c r="F235" s="6">
        <v>0.43059999999999998</v>
      </c>
    </row>
    <row r="236" spans="2:6">
      <c r="B236" t="s">
        <v>825</v>
      </c>
      <c r="C236" s="6">
        <v>0</v>
      </c>
      <c r="D236" s="6">
        <v>0</v>
      </c>
      <c r="E236" s="6">
        <v>2.7799999999999998E-2</v>
      </c>
      <c r="F236" s="6">
        <v>0.1245</v>
      </c>
    </row>
    <row r="237" spans="2:6">
      <c r="B237" t="s">
        <v>164</v>
      </c>
      <c r="C237" s="6">
        <v>0.26150000000000001</v>
      </c>
      <c r="D237" s="6">
        <v>0.21479999999999999</v>
      </c>
      <c r="E237" s="6">
        <v>0.15440000000000001</v>
      </c>
      <c r="F237" s="6">
        <v>0.1154</v>
      </c>
    </row>
    <row r="238" spans="2:6">
      <c r="B238" t="s">
        <v>352</v>
      </c>
      <c r="C238" s="6">
        <v>0.115</v>
      </c>
      <c r="D238" s="6">
        <v>0.1077</v>
      </c>
      <c r="E238" s="6">
        <v>0.11799999999999999</v>
      </c>
      <c r="F238" s="6">
        <v>5.2499999999999998E-2</v>
      </c>
    </row>
    <row r="239" spans="2:6">
      <c r="B239" t="s">
        <v>286</v>
      </c>
      <c r="C239" s="6">
        <v>0.15129999999999999</v>
      </c>
      <c r="D239" s="6">
        <v>0.1125</v>
      </c>
      <c r="E239" s="6">
        <v>0.11600000000000001</v>
      </c>
      <c r="F239" s="6">
        <v>0.19570000000000001</v>
      </c>
    </row>
    <row r="240" spans="2:6">
      <c r="B240" t="s">
        <v>166</v>
      </c>
      <c r="C240" s="6">
        <v>9.7000000000000003E-3</v>
      </c>
      <c r="D240" s="6">
        <v>1.37E-2</v>
      </c>
      <c r="E240" s="6">
        <v>2.5000000000000001E-3</v>
      </c>
      <c r="F240" s="6">
        <v>1.9E-3</v>
      </c>
    </row>
    <row r="241" spans="2:6">
      <c r="B241" t="s">
        <v>357</v>
      </c>
      <c r="C241" s="6">
        <v>0.1497</v>
      </c>
      <c r="D241" s="6">
        <v>0.12959999999999999</v>
      </c>
      <c r="E241" s="6">
        <v>0.123</v>
      </c>
      <c r="F241" s="6">
        <v>0.1232</v>
      </c>
    </row>
    <row r="242" spans="2:6">
      <c r="B242" t="s">
        <v>499</v>
      </c>
      <c r="C242" s="6">
        <v>0.60199999999999998</v>
      </c>
      <c r="D242" s="6">
        <v>0.55400000000000005</v>
      </c>
      <c r="E242" s="6">
        <v>0.3921</v>
      </c>
      <c r="F242" s="6">
        <v>0.23089999999999999</v>
      </c>
    </row>
    <row r="243" spans="2:6">
      <c r="B243" t="s">
        <v>266</v>
      </c>
      <c r="C243" s="6">
        <v>0.40210000000000001</v>
      </c>
      <c r="D243" s="6">
        <v>0.41470000000000001</v>
      </c>
      <c r="E243" s="6">
        <v>0.432</v>
      </c>
      <c r="F243" s="6">
        <v>0.37930000000000003</v>
      </c>
    </row>
    <row r="244" spans="2:6">
      <c r="B244" t="s">
        <v>156</v>
      </c>
      <c r="C244" s="6">
        <v>9.2799999999999994E-2</v>
      </c>
      <c r="D244" s="6">
        <v>0.1052</v>
      </c>
      <c r="E244" s="6">
        <v>2.3099999999999999E-2</v>
      </c>
      <c r="F244" s="6">
        <v>0.1168</v>
      </c>
    </row>
    <row r="245" spans="2:6">
      <c r="B245" t="s">
        <v>82</v>
      </c>
      <c r="C245" s="6">
        <v>1.8599999999999998E-2</v>
      </c>
      <c r="D245" s="6">
        <v>1.9199999999999998E-2</v>
      </c>
      <c r="E245" s="6">
        <v>1.9699999999999999E-2</v>
      </c>
      <c r="F245" s="6">
        <v>4.0300000000000002E-2</v>
      </c>
    </row>
    <row r="246" spans="2:6">
      <c r="B246" t="s">
        <v>487</v>
      </c>
      <c r="C246" s="6">
        <v>0.28010000000000002</v>
      </c>
      <c r="D246" s="6">
        <v>0.25559999999999999</v>
      </c>
      <c r="E246" s="6">
        <v>0.1711</v>
      </c>
      <c r="F246" s="6">
        <v>0.23569999999999999</v>
      </c>
    </row>
    <row r="247" spans="2:6">
      <c r="B247" t="s">
        <v>78</v>
      </c>
      <c r="C247" s="6">
        <v>8.1199999999999994E-2</v>
      </c>
      <c r="D247" s="6">
        <v>6.7699999999999996E-2</v>
      </c>
      <c r="E247" s="6">
        <v>6.8099999999999994E-2</v>
      </c>
      <c r="F247" s="6">
        <v>3.15E-2</v>
      </c>
    </row>
    <row r="248" spans="2:6">
      <c r="B248" t="s">
        <v>203</v>
      </c>
      <c r="C248" s="6">
        <v>0.2868</v>
      </c>
      <c r="D248" s="6">
        <v>0.3755</v>
      </c>
      <c r="E248" s="6">
        <v>0.34489999999999998</v>
      </c>
      <c r="F248" s="6">
        <v>0.25969999999999999</v>
      </c>
    </row>
    <row r="249" spans="2:6">
      <c r="B249" t="s">
        <v>197</v>
      </c>
      <c r="C249" s="6">
        <v>0</v>
      </c>
      <c r="D249" s="6">
        <v>0</v>
      </c>
      <c r="E249" s="6">
        <v>0</v>
      </c>
      <c r="F249" s="6">
        <v>1.17E-2</v>
      </c>
    </row>
    <row r="250" spans="2:6">
      <c r="B250" t="s">
        <v>87</v>
      </c>
      <c r="C250" s="6">
        <v>0.42030000000000001</v>
      </c>
      <c r="D250" s="6">
        <v>0.56010000000000004</v>
      </c>
      <c r="E250" s="6">
        <v>0.55930000000000002</v>
      </c>
      <c r="F250" s="6">
        <v>0.59350000000000003</v>
      </c>
    </row>
    <row r="251" spans="2:6">
      <c r="B251" t="s">
        <v>73</v>
      </c>
      <c r="C251" s="6">
        <v>0.16200000000000001</v>
      </c>
      <c r="D251" s="6">
        <v>0.33129999999999998</v>
      </c>
      <c r="E251" s="6">
        <v>0.4299</v>
      </c>
      <c r="F251" s="6">
        <v>0.4521</v>
      </c>
    </row>
    <row r="252" spans="2:6">
      <c r="B252" t="s">
        <v>165</v>
      </c>
      <c r="C252" s="6">
        <v>0.2374</v>
      </c>
      <c r="D252" s="6">
        <v>0.17460000000000001</v>
      </c>
      <c r="E252" s="6">
        <v>0.1648</v>
      </c>
      <c r="F252" s="6">
        <v>0.2344</v>
      </c>
    </row>
    <row r="253" spans="2:6">
      <c r="B253" t="s">
        <v>485</v>
      </c>
      <c r="C253" s="6">
        <v>0</v>
      </c>
      <c r="D253" s="6">
        <v>0</v>
      </c>
      <c r="E253" s="6">
        <v>0.54079999999999995</v>
      </c>
      <c r="F253" s="6">
        <v>0.53280000000000005</v>
      </c>
    </row>
    <row r="254" spans="2:6">
      <c r="B254" t="s">
        <v>474</v>
      </c>
      <c r="C254" s="6">
        <v>0.66790000000000005</v>
      </c>
      <c r="D254" s="6">
        <v>0.4375</v>
      </c>
      <c r="E254" s="6">
        <v>0.51539999999999997</v>
      </c>
      <c r="F254" s="6">
        <v>0.48659999999999998</v>
      </c>
    </row>
    <row r="255" spans="2:6">
      <c r="B255" t="s">
        <v>15</v>
      </c>
      <c r="C255" s="6">
        <v>7.6200000000000004E-2</v>
      </c>
      <c r="D255" s="6">
        <v>2.9100000000000001E-2</v>
      </c>
      <c r="E255" s="6">
        <v>6.9699999999999998E-2</v>
      </c>
      <c r="F255" s="6">
        <v>3.7400000000000003E-2</v>
      </c>
    </row>
    <row r="256" spans="2:6">
      <c r="B256" t="s">
        <v>44</v>
      </c>
      <c r="C256" s="6">
        <v>0.40289999999999998</v>
      </c>
      <c r="D256" s="6">
        <v>0.47439999999999999</v>
      </c>
      <c r="E256" s="6">
        <v>0.19439999999999999</v>
      </c>
      <c r="F256" s="6">
        <v>4.4699999999999997E-2</v>
      </c>
    </row>
    <row r="257" spans="2:6">
      <c r="B257" t="s">
        <v>313</v>
      </c>
      <c r="C257" s="6">
        <v>0</v>
      </c>
      <c r="D257" s="6">
        <v>0</v>
      </c>
      <c r="E257" s="6">
        <v>0</v>
      </c>
      <c r="F257" s="6">
        <v>1.7500000000000002E-2</v>
      </c>
    </row>
    <row r="258" spans="2:6">
      <c r="B258" t="s">
        <v>85</v>
      </c>
      <c r="C258" s="6">
        <v>0.43619999999999998</v>
      </c>
      <c r="D258" s="6">
        <v>0.44330000000000003</v>
      </c>
      <c r="E258" s="6">
        <v>0.43540000000000001</v>
      </c>
      <c r="F258" s="6">
        <v>0.57699999999999996</v>
      </c>
    </row>
    <row r="259" spans="2:6">
      <c r="B259" t="s">
        <v>310</v>
      </c>
      <c r="C259" s="6">
        <v>0.33129999999999998</v>
      </c>
      <c r="D259" s="6">
        <v>0.33560000000000001</v>
      </c>
      <c r="E259" s="6">
        <v>0.33979999999999999</v>
      </c>
      <c r="F259" s="6">
        <v>0.36220000000000002</v>
      </c>
    </row>
    <row r="260" spans="2:6">
      <c r="B260" t="s">
        <v>140</v>
      </c>
      <c r="C260" s="6">
        <v>0.4219</v>
      </c>
      <c r="D260" s="6">
        <v>0.3175</v>
      </c>
      <c r="E260" s="6">
        <v>0.40770000000000001</v>
      </c>
      <c r="F260" s="6">
        <v>0.31140000000000001</v>
      </c>
    </row>
    <row r="261" spans="2:6">
      <c r="B261" t="s">
        <v>495</v>
      </c>
      <c r="C261" s="6">
        <v>0</v>
      </c>
      <c r="D261" s="6">
        <v>0</v>
      </c>
      <c r="E261" s="6">
        <v>2.3999999999999998E-3</v>
      </c>
      <c r="F261" s="6">
        <v>8.0000000000000004E-4</v>
      </c>
    </row>
    <row r="262" spans="2:6">
      <c r="B262" t="s">
        <v>9</v>
      </c>
      <c r="C262" s="6">
        <v>0.53639999999999999</v>
      </c>
      <c r="D262" s="6">
        <v>0.55189999999999995</v>
      </c>
      <c r="E262" s="6">
        <v>0.50939999999999996</v>
      </c>
      <c r="F262" s="6">
        <v>0.45950000000000002</v>
      </c>
    </row>
    <row r="263" spans="2:6">
      <c r="B263" t="s">
        <v>810</v>
      </c>
      <c r="C263" s="6">
        <v>2.2800000000000001E-2</v>
      </c>
      <c r="D263" s="6">
        <v>3.5400000000000001E-2</v>
      </c>
      <c r="E263" s="6">
        <v>2.2800000000000001E-2</v>
      </c>
      <c r="F263" s="6">
        <v>1.67E-2</v>
      </c>
    </row>
    <row r="264" spans="2:6">
      <c r="B264" t="s">
        <v>309</v>
      </c>
      <c r="C264" s="6">
        <v>5.4699999999999999E-2</v>
      </c>
      <c r="D264" s="6">
        <v>5.0999999999999997E-2</v>
      </c>
      <c r="E264" s="6">
        <v>5.1299999999999998E-2</v>
      </c>
      <c r="F264" s="6">
        <v>5.0299999999999997E-2</v>
      </c>
    </row>
    <row r="265" spans="2:6">
      <c r="B265" t="s">
        <v>307</v>
      </c>
      <c r="C265" s="6">
        <v>0</v>
      </c>
      <c r="D265" s="6">
        <v>2.46E-2</v>
      </c>
      <c r="E265" s="6">
        <v>2.1100000000000001E-2</v>
      </c>
      <c r="F265" s="6">
        <v>0</v>
      </c>
    </row>
    <row r="266" spans="2:6">
      <c r="B266" t="s">
        <v>105</v>
      </c>
      <c r="C266" s="6">
        <v>5.4999999999999997E-3</v>
      </c>
      <c r="D266" s="6">
        <v>0</v>
      </c>
      <c r="E266" s="6">
        <v>0.02</v>
      </c>
      <c r="F266" s="6">
        <v>0</v>
      </c>
    </row>
    <row r="267" spans="2:6">
      <c r="B267" t="s">
        <v>4</v>
      </c>
      <c r="C267" s="6">
        <v>0.29920000000000002</v>
      </c>
      <c r="D267" s="6">
        <v>0.29959999999999998</v>
      </c>
      <c r="E267" s="6">
        <v>0.24329999999999999</v>
      </c>
      <c r="F267" s="6">
        <v>0.30299999999999999</v>
      </c>
    </row>
    <row r="268" spans="2:6">
      <c r="B268" t="s">
        <v>157</v>
      </c>
      <c r="C268" s="6">
        <v>0.48409999999999997</v>
      </c>
      <c r="D268" s="6">
        <v>0.47970000000000002</v>
      </c>
      <c r="E268" s="6">
        <v>0.50770000000000004</v>
      </c>
      <c r="F268" s="6">
        <v>0.6472</v>
      </c>
    </row>
    <row r="269" spans="2:6">
      <c r="B269" t="s">
        <v>110</v>
      </c>
      <c r="C269" s="6">
        <v>0</v>
      </c>
      <c r="D269" s="6">
        <v>0</v>
      </c>
      <c r="E269" s="6">
        <v>0</v>
      </c>
      <c r="F269" s="6">
        <v>0</v>
      </c>
    </row>
    <row r="270" spans="2:6">
      <c r="B270" t="s">
        <v>488</v>
      </c>
      <c r="C270" s="6">
        <v>0</v>
      </c>
      <c r="D270" s="6">
        <v>0</v>
      </c>
      <c r="E270" s="6">
        <v>9.06E-2</v>
      </c>
      <c r="F270" s="6">
        <v>0.105</v>
      </c>
    </row>
    <row r="271" spans="2:6">
      <c r="B271" t="s">
        <v>367</v>
      </c>
      <c r="C271" s="6">
        <v>0.1656</v>
      </c>
      <c r="D271" s="6">
        <v>0</v>
      </c>
      <c r="E271" s="6">
        <v>0.2283</v>
      </c>
      <c r="F271" s="6">
        <v>9.4899999999999998E-2</v>
      </c>
    </row>
    <row r="272" spans="2:6">
      <c r="B272" t="s">
        <v>822</v>
      </c>
      <c r="C272" s="6">
        <v>0.18740000000000001</v>
      </c>
      <c r="D272" s="6">
        <v>0.1593</v>
      </c>
      <c r="E272" s="6">
        <v>0.16309999999999999</v>
      </c>
      <c r="F272" s="6">
        <v>0.1263</v>
      </c>
    </row>
    <row r="273" spans="2:6">
      <c r="B273" t="s">
        <v>808</v>
      </c>
      <c r="C273" s="6">
        <v>0.25600000000000001</v>
      </c>
      <c r="D273" s="6">
        <v>4.24E-2</v>
      </c>
      <c r="E273" s="6">
        <v>0.1406</v>
      </c>
      <c r="F273" s="6">
        <v>0.1421</v>
      </c>
    </row>
    <row r="274" spans="2:6">
      <c r="B274" t="s">
        <v>356</v>
      </c>
      <c r="C274" s="6">
        <v>0.495</v>
      </c>
      <c r="D274" s="6">
        <v>0.47420000000000001</v>
      </c>
      <c r="E274" s="6">
        <v>0.43509999999999999</v>
      </c>
      <c r="F274" s="6">
        <v>0.2772</v>
      </c>
    </row>
    <row r="275" spans="2:6">
      <c r="B275" t="s">
        <v>135</v>
      </c>
      <c r="C275" s="6">
        <v>0.43109999999999998</v>
      </c>
      <c r="D275" s="6">
        <v>0.45979999999999999</v>
      </c>
      <c r="E275" s="6">
        <v>0.39169999999999999</v>
      </c>
      <c r="F275" s="6">
        <v>0.4194</v>
      </c>
    </row>
    <row r="276" spans="2:6">
      <c r="B276" t="s">
        <v>420</v>
      </c>
      <c r="C276" s="6">
        <v>0</v>
      </c>
      <c r="D276" s="6">
        <v>0</v>
      </c>
      <c r="E276" s="6">
        <v>0</v>
      </c>
      <c r="F276" s="6">
        <v>0</v>
      </c>
    </row>
    <row r="277" spans="2:6">
      <c r="B277" t="s">
        <v>353</v>
      </c>
      <c r="C277" s="6">
        <v>0.42520000000000002</v>
      </c>
      <c r="D277" s="6">
        <v>0.40239999999999998</v>
      </c>
      <c r="E277" s="6">
        <v>0.1298</v>
      </c>
      <c r="F277" s="6">
        <v>0</v>
      </c>
    </row>
    <row r="278" spans="2:6">
      <c r="B278" t="s">
        <v>476</v>
      </c>
      <c r="C278" s="6">
        <v>0.56710000000000005</v>
      </c>
      <c r="D278" s="6">
        <v>1E-3</v>
      </c>
      <c r="E278" s="6">
        <v>1E-3</v>
      </c>
      <c r="F278" s="6">
        <v>8.9999999999999998E-4</v>
      </c>
    </row>
    <row r="279" spans="2:6">
      <c r="B279" t="s">
        <v>479</v>
      </c>
      <c r="C279" s="6">
        <v>0.2492</v>
      </c>
      <c r="D279" s="6">
        <v>0.51119999999999999</v>
      </c>
      <c r="E279" s="6">
        <v>0.46339999999999998</v>
      </c>
      <c r="F279" s="6">
        <v>0.45200000000000001</v>
      </c>
    </row>
    <row r="280" spans="2:6">
      <c r="B280" t="s">
        <v>480</v>
      </c>
      <c r="C280" s="6">
        <v>0.42420000000000002</v>
      </c>
      <c r="D280" s="6">
        <v>0.11550000000000001</v>
      </c>
      <c r="E280" s="6">
        <v>0.14019999999999999</v>
      </c>
      <c r="F280" s="6">
        <v>0.25850000000000001</v>
      </c>
    </row>
    <row r="281" spans="2:6">
      <c r="B281" t="s">
        <v>262</v>
      </c>
      <c r="C281" s="6">
        <v>0.14369999999999999</v>
      </c>
      <c r="D281" s="6">
        <v>0.2064</v>
      </c>
      <c r="E281" s="6">
        <v>0.26179999999999998</v>
      </c>
      <c r="F281" s="6">
        <v>0.31630000000000003</v>
      </c>
    </row>
    <row r="282" spans="2:6">
      <c r="B282" t="s">
        <v>10</v>
      </c>
      <c r="C282" s="6">
        <v>0.1729</v>
      </c>
      <c r="D282" s="6">
        <v>0.17710000000000001</v>
      </c>
      <c r="E282" s="6">
        <v>0.1464</v>
      </c>
      <c r="F282" s="6">
        <v>0.24890000000000001</v>
      </c>
    </row>
    <row r="283" spans="2:6">
      <c r="B283" t="s">
        <v>75</v>
      </c>
      <c r="C283" s="6">
        <v>0.1191</v>
      </c>
      <c r="D283" s="6">
        <v>0.27639999999999998</v>
      </c>
      <c r="E283" s="6">
        <v>0.2329</v>
      </c>
      <c r="F283" s="6">
        <v>0.23649999999999999</v>
      </c>
    </row>
    <row r="284" spans="2:6">
      <c r="B284" t="s">
        <v>81</v>
      </c>
      <c r="C284" s="6">
        <v>0.1119</v>
      </c>
      <c r="D284" s="6">
        <v>0.27460000000000001</v>
      </c>
      <c r="E284" s="6">
        <v>0.2392</v>
      </c>
      <c r="F284" s="6">
        <v>0.2356</v>
      </c>
    </row>
    <row r="285" spans="2:6">
      <c r="B285" t="s">
        <v>74</v>
      </c>
      <c r="C285" s="6">
        <v>0.29609999999999997</v>
      </c>
      <c r="D285" s="6">
        <v>0.29859999999999998</v>
      </c>
      <c r="E285" s="6">
        <v>0.34150000000000003</v>
      </c>
      <c r="F285" s="6">
        <v>0.30509999999999998</v>
      </c>
    </row>
    <row r="286" spans="2:6">
      <c r="B286" t="s">
        <v>831</v>
      </c>
      <c r="C286" s="6">
        <v>2.7699999999999999E-2</v>
      </c>
      <c r="D286" s="6">
        <v>1.6000000000000001E-3</v>
      </c>
      <c r="E286" s="6">
        <v>0</v>
      </c>
      <c r="F286" s="6">
        <v>0</v>
      </c>
    </row>
    <row r="287" spans="2:6">
      <c r="B287" t="s">
        <v>809</v>
      </c>
      <c r="C287" s="6">
        <v>0.2596</v>
      </c>
      <c r="D287" s="6">
        <v>0.25850000000000001</v>
      </c>
      <c r="E287" s="6">
        <v>0.2447</v>
      </c>
      <c r="F287" s="6">
        <v>0.27500000000000002</v>
      </c>
    </row>
    <row r="288" spans="2:6">
      <c r="B288" t="s">
        <v>500</v>
      </c>
      <c r="C288" s="6">
        <v>0.19869999999999999</v>
      </c>
      <c r="D288" s="6">
        <v>0.24540000000000001</v>
      </c>
      <c r="E288" s="6">
        <v>0.42680000000000001</v>
      </c>
      <c r="F288" s="6">
        <v>0.20760000000000001</v>
      </c>
    </row>
    <row r="289" spans="2:6">
      <c r="B289" t="s">
        <v>236</v>
      </c>
      <c r="C289" s="6">
        <v>0.1827</v>
      </c>
      <c r="D289" s="6">
        <v>0.13109999999999999</v>
      </c>
      <c r="E289" s="6">
        <v>9.8100000000000007E-2</v>
      </c>
      <c r="F289" s="6">
        <v>9.5200000000000007E-2</v>
      </c>
    </row>
    <row r="290" spans="2:6">
      <c r="B290" t="s">
        <v>334</v>
      </c>
      <c r="C290" s="6">
        <v>0.16489999999999999</v>
      </c>
      <c r="D290" s="6">
        <v>0.14560000000000001</v>
      </c>
      <c r="E290" s="6">
        <v>0.23150000000000001</v>
      </c>
      <c r="F290" s="6">
        <v>0.15179999999999999</v>
      </c>
    </row>
    <row r="291" spans="2:6">
      <c r="B291" t="s">
        <v>162</v>
      </c>
      <c r="C291" s="6">
        <v>0.2059</v>
      </c>
      <c r="D291" s="6">
        <v>0.3009</v>
      </c>
      <c r="E291" s="6">
        <v>0.44690000000000002</v>
      </c>
      <c r="F291" s="6">
        <v>0.4249</v>
      </c>
    </row>
    <row r="292" spans="2:6">
      <c r="B292" t="s">
        <v>344</v>
      </c>
      <c r="C292" s="6">
        <v>0.21659999999999999</v>
      </c>
      <c r="D292" s="6">
        <v>0.2142</v>
      </c>
      <c r="E292" s="6">
        <v>0.20880000000000001</v>
      </c>
      <c r="F292" s="6">
        <v>0.20269999999999999</v>
      </c>
    </row>
    <row r="293" spans="2:6">
      <c r="B293" t="s">
        <v>241</v>
      </c>
      <c r="C293" s="6">
        <v>0.3019</v>
      </c>
      <c r="D293" s="6">
        <v>0.25480000000000003</v>
      </c>
      <c r="E293" s="6">
        <v>0.3155</v>
      </c>
      <c r="F293" s="6">
        <v>0.30409999999999998</v>
      </c>
    </row>
    <row r="294" spans="2:6">
      <c r="B294" t="s">
        <v>379</v>
      </c>
      <c r="C294" s="6">
        <v>0.30909999999999999</v>
      </c>
      <c r="D294" s="6">
        <v>0.25840000000000002</v>
      </c>
      <c r="E294" s="6">
        <v>0.3155</v>
      </c>
      <c r="F294" s="6">
        <v>0.3014</v>
      </c>
    </row>
    <row r="295" spans="2:6">
      <c r="B295" t="s">
        <v>342</v>
      </c>
      <c r="C295" s="6">
        <v>0.54590000000000005</v>
      </c>
      <c r="D295" s="6">
        <v>6.3200000000000006E-2</v>
      </c>
      <c r="E295" s="6">
        <v>1.4E-3</v>
      </c>
      <c r="F295" s="6">
        <v>0.13780000000000001</v>
      </c>
    </row>
    <row r="296" spans="2:6">
      <c r="B296" t="s">
        <v>289</v>
      </c>
      <c r="C296" s="6">
        <v>0</v>
      </c>
      <c r="D296" s="6">
        <v>0</v>
      </c>
      <c r="E296" s="6">
        <v>0</v>
      </c>
      <c r="F296" s="6">
        <v>0</v>
      </c>
    </row>
    <row r="297" spans="2:6">
      <c r="B297" t="s">
        <v>196</v>
      </c>
      <c r="C297" s="6">
        <v>5.4399999999999997E-2</v>
      </c>
      <c r="D297" s="6">
        <v>5.3499999999999999E-2</v>
      </c>
      <c r="E297" s="6">
        <v>3.6999999999999998E-2</v>
      </c>
      <c r="F297" s="6">
        <v>3.44E-2</v>
      </c>
    </row>
    <row r="298" spans="2:6">
      <c r="B298" t="s">
        <v>210</v>
      </c>
      <c r="C298" s="6">
        <v>8.4199999999999997E-2</v>
      </c>
      <c r="D298" s="6">
        <v>0.1041</v>
      </c>
      <c r="E298" s="6">
        <v>9.2899999999999996E-2</v>
      </c>
      <c r="F298" s="6">
        <v>8.1799999999999998E-2</v>
      </c>
    </row>
    <row r="299" spans="2:6">
      <c r="B299" t="s">
        <v>232</v>
      </c>
      <c r="C299" s="6">
        <v>0.25950000000000001</v>
      </c>
      <c r="D299" s="6">
        <v>0.24679999999999999</v>
      </c>
      <c r="E299" s="6">
        <v>0.20480000000000001</v>
      </c>
      <c r="F299" s="6">
        <v>0.22650000000000001</v>
      </c>
    </row>
    <row r="300" spans="2:6">
      <c r="B300" t="s">
        <v>410</v>
      </c>
      <c r="C300" s="6">
        <v>0.4995</v>
      </c>
      <c r="D300" s="6">
        <v>0.51090000000000002</v>
      </c>
      <c r="E300" s="6">
        <v>0.46139999999999998</v>
      </c>
      <c r="F300" s="6">
        <v>0.38279999999999997</v>
      </c>
    </row>
    <row r="301" spans="2:6">
      <c r="B301" t="s">
        <v>181</v>
      </c>
      <c r="C301" s="6">
        <v>0.40379999999999999</v>
      </c>
      <c r="D301" s="6">
        <v>0.36720000000000003</v>
      </c>
      <c r="E301" s="6">
        <v>0.35289999999999999</v>
      </c>
      <c r="F301" s="6">
        <v>0.40029999999999999</v>
      </c>
    </row>
    <row r="302" spans="2:6">
      <c r="B302" t="s">
        <v>33</v>
      </c>
      <c r="C302" s="6">
        <v>0.4209</v>
      </c>
      <c r="D302" s="6">
        <v>0.30930000000000002</v>
      </c>
      <c r="E302" s="6">
        <v>0.218</v>
      </c>
      <c r="F302" s="6">
        <v>0.13589999999999999</v>
      </c>
    </row>
    <row r="303" spans="2:6">
      <c r="B303" t="s">
        <v>298</v>
      </c>
      <c r="C303" s="6">
        <v>0.2223</v>
      </c>
      <c r="D303" s="6">
        <v>0.23810000000000001</v>
      </c>
      <c r="E303" s="6">
        <v>0.24349999999999999</v>
      </c>
      <c r="F303" s="6">
        <v>0.18640000000000001</v>
      </c>
    </row>
    <row r="304" spans="2:6">
      <c r="B304" t="s">
        <v>278</v>
      </c>
      <c r="C304" s="6">
        <v>4.36E-2</v>
      </c>
      <c r="D304" s="6">
        <v>4.2799999999999998E-2</v>
      </c>
      <c r="E304" s="6">
        <v>6.7400000000000002E-2</v>
      </c>
      <c r="F304" s="6">
        <v>0.1749</v>
      </c>
    </row>
    <row r="305" spans="2:6">
      <c r="B305" t="s">
        <v>49</v>
      </c>
      <c r="C305" s="6">
        <v>0</v>
      </c>
      <c r="D305" s="6">
        <v>6.7000000000000002E-3</v>
      </c>
      <c r="E305" s="6">
        <v>3.5000000000000001E-3</v>
      </c>
      <c r="F305" s="6">
        <v>8.9999999999999998E-4</v>
      </c>
    </row>
    <row r="306" spans="2:6">
      <c r="B306" t="s">
        <v>821</v>
      </c>
      <c r="C306" s="6">
        <v>5.5E-2</v>
      </c>
      <c r="D306" s="6">
        <v>0</v>
      </c>
      <c r="E306" s="6">
        <v>0.64759999999999995</v>
      </c>
      <c r="F306" s="6">
        <v>0.62290000000000001</v>
      </c>
    </row>
    <row r="307" spans="2:6">
      <c r="B307" t="s">
        <v>149</v>
      </c>
      <c r="C307" s="6">
        <v>2.9399999999999999E-2</v>
      </c>
      <c r="D307" s="6">
        <v>1.9300000000000001E-2</v>
      </c>
      <c r="E307" s="6">
        <v>8.2500000000000004E-2</v>
      </c>
      <c r="F307" s="6">
        <v>0.29609999999999997</v>
      </c>
    </row>
    <row r="308" spans="2:6">
      <c r="B308" t="s">
        <v>190</v>
      </c>
      <c r="C308" s="6">
        <v>0.46829999999999999</v>
      </c>
      <c r="D308" s="6">
        <v>0.32150000000000001</v>
      </c>
      <c r="E308" s="6">
        <v>2.9000000000000001E-2</v>
      </c>
      <c r="F308" s="6">
        <v>4.24E-2</v>
      </c>
    </row>
    <row r="309" spans="2:6">
      <c r="B309" t="s">
        <v>184</v>
      </c>
      <c r="C309" s="6">
        <v>0.20080000000000001</v>
      </c>
      <c r="D309" s="6">
        <v>0.17169999999999999</v>
      </c>
      <c r="E309" s="6">
        <v>0.22600000000000001</v>
      </c>
      <c r="F309" s="6">
        <v>0.16220000000000001</v>
      </c>
    </row>
    <row r="310" spans="2:6">
      <c r="B310" t="s">
        <v>451</v>
      </c>
      <c r="C310" s="6">
        <v>1.1000000000000001E-3</v>
      </c>
      <c r="D310" s="6">
        <v>1.8E-3</v>
      </c>
      <c r="E310" s="6">
        <v>3.7499999999999999E-2</v>
      </c>
      <c r="F310" s="6">
        <v>4.8800000000000003E-2</v>
      </c>
    </row>
    <row r="311" spans="2:6">
      <c r="B311" t="s">
        <v>812</v>
      </c>
      <c r="C311" s="6">
        <v>0.46710000000000002</v>
      </c>
      <c r="D311" s="6">
        <v>0.47099999999999997</v>
      </c>
      <c r="E311" s="6">
        <v>0.48830000000000001</v>
      </c>
      <c r="F311" s="6">
        <v>0.49230000000000002</v>
      </c>
    </row>
    <row r="312" spans="2:6">
      <c r="B312" t="s">
        <v>38</v>
      </c>
      <c r="C312" s="6">
        <v>0.15329999999999999</v>
      </c>
      <c r="D312" s="6">
        <v>0.155</v>
      </c>
      <c r="E312" s="6">
        <v>0.155</v>
      </c>
      <c r="F312" s="6">
        <v>0.19170000000000001</v>
      </c>
    </row>
    <row r="313" spans="2:6">
      <c r="B313" t="s">
        <v>816</v>
      </c>
      <c r="C313" s="6">
        <v>0.52149999999999996</v>
      </c>
      <c r="D313" s="6">
        <v>0.44840000000000002</v>
      </c>
      <c r="E313" s="6">
        <v>0.50029999999999997</v>
      </c>
      <c r="F313" s="6">
        <v>0.42130000000000001</v>
      </c>
    </row>
    <row r="314" spans="2:6">
      <c r="B314" t="s">
        <v>29</v>
      </c>
      <c r="C314" s="6">
        <v>0.38619999999999999</v>
      </c>
      <c r="D314" s="6">
        <v>0.41799999999999998</v>
      </c>
      <c r="E314" s="6">
        <v>0.69020000000000004</v>
      </c>
      <c r="F314" s="6">
        <v>0.93859999999999999</v>
      </c>
    </row>
    <row r="315" spans="2:6">
      <c r="B315" t="s">
        <v>43</v>
      </c>
      <c r="C315" s="6">
        <v>0.35370000000000001</v>
      </c>
      <c r="D315" s="6">
        <v>0.30930000000000002</v>
      </c>
      <c r="E315" s="6">
        <v>0.33289999999999997</v>
      </c>
      <c r="F315" s="6">
        <v>0.37980000000000003</v>
      </c>
    </row>
    <row r="316" spans="2:6">
      <c r="B316" t="s">
        <v>240</v>
      </c>
      <c r="C316" s="6">
        <v>0.47170000000000001</v>
      </c>
      <c r="D316" s="6">
        <v>0.30370000000000003</v>
      </c>
      <c r="E316" s="6">
        <v>0.25650000000000001</v>
      </c>
      <c r="F316" s="6">
        <v>0.28160000000000002</v>
      </c>
    </row>
    <row r="317" spans="2:6">
      <c r="B317" t="s">
        <v>291</v>
      </c>
      <c r="C317" s="6">
        <v>0.14299999999999999</v>
      </c>
      <c r="D317" s="6">
        <v>0.14760000000000001</v>
      </c>
      <c r="E317" s="6">
        <v>0.19420000000000001</v>
      </c>
      <c r="F317" s="6">
        <v>0.45200000000000001</v>
      </c>
    </row>
    <row r="318" spans="2:6">
      <c r="B318" t="s">
        <v>205</v>
      </c>
      <c r="C318" s="6">
        <v>0.17580000000000001</v>
      </c>
      <c r="D318" s="6">
        <v>0.1195</v>
      </c>
      <c r="E318" s="6">
        <v>0.128</v>
      </c>
      <c r="F318" s="6">
        <v>0.1208</v>
      </c>
    </row>
    <row r="319" spans="2:6">
      <c r="B319" t="s">
        <v>284</v>
      </c>
      <c r="C319" s="6">
        <v>0.1857</v>
      </c>
      <c r="D319" s="6">
        <v>0.16120000000000001</v>
      </c>
      <c r="E319" s="6">
        <v>0.2296</v>
      </c>
      <c r="F319" s="6">
        <v>0.24940000000000001</v>
      </c>
    </row>
    <row r="320" spans="2:6">
      <c r="B320" t="s">
        <v>331</v>
      </c>
      <c r="C320" s="6">
        <v>8.3199999999999996E-2</v>
      </c>
      <c r="D320" s="6">
        <v>0.32650000000000001</v>
      </c>
      <c r="E320" s="6">
        <v>1E-3</v>
      </c>
      <c r="F320" s="6">
        <v>5.0000000000000001E-4</v>
      </c>
    </row>
    <row r="321" spans="2:6">
      <c r="B321" t="s">
        <v>285</v>
      </c>
      <c r="C321" s="6">
        <v>2.47E-2</v>
      </c>
      <c r="D321" s="6">
        <v>0.04</v>
      </c>
      <c r="E321" s="6">
        <v>2.8400000000000002E-2</v>
      </c>
      <c r="F321" s="6">
        <v>0</v>
      </c>
    </row>
    <row r="322" spans="2:6">
      <c r="B322" t="s">
        <v>62</v>
      </c>
      <c r="C322" s="6">
        <v>0.2097</v>
      </c>
      <c r="D322" s="6">
        <v>0.19089999999999999</v>
      </c>
      <c r="E322" s="6">
        <v>0.2636</v>
      </c>
      <c r="F322" s="6">
        <v>0.3034</v>
      </c>
    </row>
    <row r="323" spans="2:6">
      <c r="B323" t="s">
        <v>218</v>
      </c>
      <c r="C323" s="6">
        <v>9.0899999999999995E-2</v>
      </c>
      <c r="D323" s="6">
        <v>6.4899999999999999E-2</v>
      </c>
      <c r="E323" s="6">
        <v>7.8200000000000006E-2</v>
      </c>
      <c r="F323" s="6">
        <v>8.1500000000000003E-2</v>
      </c>
    </row>
    <row r="324" spans="2:6">
      <c r="B324" t="s">
        <v>211</v>
      </c>
      <c r="C324" s="6">
        <v>0.31269999999999998</v>
      </c>
      <c r="D324" s="6">
        <v>0.33090000000000003</v>
      </c>
      <c r="E324" s="6">
        <v>0.3034</v>
      </c>
      <c r="F324" s="6">
        <v>0.26469999999999999</v>
      </c>
    </row>
    <row r="325" spans="2:6">
      <c r="B325" t="s">
        <v>242</v>
      </c>
      <c r="C325" s="6">
        <v>6.2100000000000002E-2</v>
      </c>
      <c r="D325" s="6">
        <v>7.8799999999999995E-2</v>
      </c>
      <c r="E325" s="6">
        <v>0.1077</v>
      </c>
      <c r="F325" s="6">
        <v>0.108</v>
      </c>
    </row>
    <row r="326" spans="2:6">
      <c r="B326" t="s">
        <v>362</v>
      </c>
      <c r="C326" s="6">
        <v>0</v>
      </c>
      <c r="D326" s="6">
        <v>0</v>
      </c>
      <c r="E326" s="6">
        <v>0</v>
      </c>
      <c r="F326" s="6">
        <v>0</v>
      </c>
    </row>
    <row r="327" spans="2:6">
      <c r="B327" t="s">
        <v>827</v>
      </c>
      <c r="C327" s="6">
        <v>0</v>
      </c>
      <c r="D327" s="6">
        <v>0</v>
      </c>
      <c r="E327" s="6">
        <v>0</v>
      </c>
      <c r="F327" s="6">
        <v>5.4100000000000002E-2</v>
      </c>
    </row>
    <row r="328" spans="2:6">
      <c r="B328" t="s">
        <v>116</v>
      </c>
      <c r="C328" s="6">
        <v>0.34110000000000001</v>
      </c>
      <c r="D328" s="6">
        <v>0.245</v>
      </c>
      <c r="E328" s="6">
        <v>0.17</v>
      </c>
      <c r="F328" s="6">
        <v>0.1618</v>
      </c>
    </row>
    <row r="329" spans="2:6">
      <c r="B329" t="s">
        <v>158</v>
      </c>
      <c r="C329" s="6">
        <v>0.58579999999999999</v>
      </c>
      <c r="D329" s="6">
        <v>0.28849999999999998</v>
      </c>
      <c r="E329" s="6">
        <v>0.40939999999999999</v>
      </c>
      <c r="F329" s="6">
        <v>0.3347</v>
      </c>
    </row>
    <row r="330" spans="2:6">
      <c r="B330" t="s">
        <v>394</v>
      </c>
      <c r="C330" s="6">
        <v>0</v>
      </c>
      <c r="D330" s="6">
        <v>0</v>
      </c>
      <c r="E330" s="6">
        <v>0</v>
      </c>
      <c r="F330" s="6">
        <v>0</v>
      </c>
    </row>
    <row r="331" spans="2:6">
      <c r="B331" t="s">
        <v>98</v>
      </c>
      <c r="C331" s="6">
        <v>9.6500000000000002E-2</v>
      </c>
      <c r="D331" s="6">
        <v>8.5199999999999998E-2</v>
      </c>
      <c r="E331" s="6">
        <v>8.6300000000000002E-2</v>
      </c>
      <c r="F331" s="6">
        <v>0.1236</v>
      </c>
    </row>
    <row r="332" spans="2:6">
      <c r="B332" t="s">
        <v>86</v>
      </c>
      <c r="C332" s="6">
        <v>9.5600000000000004E-2</v>
      </c>
      <c r="D332" s="6">
        <v>8.2500000000000004E-2</v>
      </c>
      <c r="E332" s="6">
        <v>3.8999999999999998E-3</v>
      </c>
      <c r="F332" s="6">
        <v>4.4299999999999999E-2</v>
      </c>
    </row>
    <row r="333" spans="2:6">
      <c r="B333" t="s">
        <v>466</v>
      </c>
      <c r="C333" s="6">
        <v>0.1115</v>
      </c>
      <c r="D333" s="6">
        <v>0.1278</v>
      </c>
      <c r="E333" s="6">
        <v>0.14530000000000001</v>
      </c>
      <c r="F333" s="6">
        <v>0.16250000000000001</v>
      </c>
    </row>
    <row r="334" spans="2:6">
      <c r="B334" t="s">
        <v>90</v>
      </c>
      <c r="C334" s="6">
        <v>0.2646</v>
      </c>
      <c r="D334" s="6">
        <v>0.42930000000000001</v>
      </c>
      <c r="E334" s="6">
        <v>0.45479999999999998</v>
      </c>
      <c r="F334" s="6">
        <v>0.24429999999999999</v>
      </c>
    </row>
    <row r="335" spans="2:6">
      <c r="B335" t="s">
        <v>204</v>
      </c>
      <c r="C335" s="6">
        <v>0.30559999999999998</v>
      </c>
      <c r="D335" s="6">
        <v>0.3352</v>
      </c>
      <c r="E335" s="6">
        <v>0.35909999999999997</v>
      </c>
      <c r="F335" s="6">
        <v>0.29060000000000002</v>
      </c>
    </row>
    <row r="336" spans="2:6">
      <c r="B336" t="s">
        <v>119</v>
      </c>
      <c r="C336" s="6">
        <v>0.53649999999999998</v>
      </c>
      <c r="D336" s="6">
        <v>0.53739999999999999</v>
      </c>
      <c r="E336" s="6">
        <v>0.50280000000000002</v>
      </c>
      <c r="F336" s="6">
        <v>0.46260000000000001</v>
      </c>
    </row>
    <row r="337" spans="2:6">
      <c r="B337" t="s">
        <v>22</v>
      </c>
      <c r="C337" s="6">
        <v>0.2535</v>
      </c>
      <c r="D337" s="6">
        <v>0.2324</v>
      </c>
      <c r="E337" s="6">
        <v>0.223</v>
      </c>
      <c r="F337" s="6">
        <v>0.18379999999999999</v>
      </c>
    </row>
    <row r="338" spans="2:6">
      <c r="B338" t="s">
        <v>469</v>
      </c>
      <c r="C338" s="6">
        <v>0.47899999999999998</v>
      </c>
      <c r="D338" s="6">
        <v>0.64870000000000005</v>
      </c>
      <c r="E338" s="6">
        <v>0.77110000000000001</v>
      </c>
      <c r="F338" s="6">
        <v>0.57809999999999995</v>
      </c>
    </row>
    <row r="339" spans="2:6">
      <c r="B339" t="s">
        <v>68</v>
      </c>
      <c r="C339" s="6">
        <v>0.31840000000000002</v>
      </c>
      <c r="D339" s="6">
        <v>0.39600000000000002</v>
      </c>
      <c r="E339" s="6">
        <v>0.41849999999999998</v>
      </c>
      <c r="F339" s="6">
        <v>0.44390000000000002</v>
      </c>
    </row>
    <row r="340" spans="2:6">
      <c r="B340" t="s">
        <v>329</v>
      </c>
      <c r="C340" s="6">
        <v>0.53039999999999998</v>
      </c>
      <c r="D340" s="6">
        <v>0.57310000000000005</v>
      </c>
      <c r="E340" s="6">
        <v>0.67030000000000001</v>
      </c>
      <c r="F340" s="6">
        <v>0.18260000000000001</v>
      </c>
    </row>
    <row r="341" spans="2:6">
      <c r="B341" t="s">
        <v>491</v>
      </c>
      <c r="C341" s="6">
        <v>0.21229999999999999</v>
      </c>
      <c r="D341" s="6">
        <v>8.43E-2</v>
      </c>
      <c r="E341" s="6">
        <v>0.1502</v>
      </c>
      <c r="F341" s="6">
        <v>9.8000000000000004E-2</v>
      </c>
    </row>
    <row r="342" spans="2:6">
      <c r="B342" t="s">
        <v>118</v>
      </c>
      <c r="C342" s="6">
        <v>0.46560000000000001</v>
      </c>
      <c r="D342" s="6">
        <v>0.40860000000000002</v>
      </c>
      <c r="E342" s="6">
        <v>0.25519999999999998</v>
      </c>
      <c r="F342" s="6">
        <v>0.34539999999999998</v>
      </c>
    </row>
    <row r="343" spans="2:6">
      <c r="B343" t="s">
        <v>260</v>
      </c>
      <c r="C343" s="6">
        <v>4.0000000000000001E-3</v>
      </c>
      <c r="D343" s="6">
        <v>3.5400000000000001E-2</v>
      </c>
      <c r="E343" s="6">
        <v>2.9700000000000001E-2</v>
      </c>
      <c r="F343" s="6">
        <v>0</v>
      </c>
    </row>
    <row r="344" spans="2:6">
      <c r="B344" t="s">
        <v>292</v>
      </c>
      <c r="C344" s="6">
        <v>0.40560000000000002</v>
      </c>
      <c r="D344" s="6">
        <v>0.41749999999999998</v>
      </c>
      <c r="E344" s="6">
        <v>0.36899999999999999</v>
      </c>
      <c r="F344" s="6">
        <v>0.35139999999999999</v>
      </c>
    </row>
    <row r="345" spans="2:6">
      <c r="B345" t="s">
        <v>61</v>
      </c>
      <c r="C345" s="6">
        <v>0.3997</v>
      </c>
      <c r="D345" s="6">
        <v>0.42780000000000001</v>
      </c>
      <c r="E345" s="6">
        <v>0.46400000000000002</v>
      </c>
      <c r="F345" s="6">
        <v>0.49070000000000003</v>
      </c>
    </row>
    <row r="346" spans="2:6">
      <c r="B346" t="s">
        <v>94</v>
      </c>
      <c r="C346" s="6">
        <v>0.42209999999999998</v>
      </c>
      <c r="D346" s="6">
        <v>0.57699999999999996</v>
      </c>
      <c r="E346" s="6">
        <v>0.63560000000000005</v>
      </c>
      <c r="F346" s="6">
        <v>0.65990000000000004</v>
      </c>
    </row>
    <row r="347" spans="2:6">
      <c r="B347" t="s">
        <v>417</v>
      </c>
      <c r="C347" s="6">
        <v>5.4399999999999997E-2</v>
      </c>
      <c r="D347" s="6">
        <v>0.02</v>
      </c>
      <c r="E347" s="6">
        <v>4.48E-2</v>
      </c>
      <c r="F347" s="6">
        <v>0.08</v>
      </c>
    </row>
    <row r="348" spans="2:6">
      <c r="B348" t="s">
        <v>193</v>
      </c>
      <c r="C348" s="6">
        <v>6.0000000000000001E-3</v>
      </c>
      <c r="D348" s="6">
        <v>4.1700000000000001E-2</v>
      </c>
      <c r="E348" s="6">
        <v>3.78E-2</v>
      </c>
      <c r="F348" s="6">
        <v>2.5999999999999999E-2</v>
      </c>
    </row>
    <row r="349" spans="2:6">
      <c r="B349" t="s">
        <v>283</v>
      </c>
      <c r="C349" s="6">
        <v>0.13689999999999999</v>
      </c>
      <c r="D349" s="6">
        <v>0.2482</v>
      </c>
      <c r="E349" s="6">
        <v>0.2122</v>
      </c>
      <c r="F349" s="6">
        <v>0.29730000000000001</v>
      </c>
    </row>
    <row r="350" spans="2:6">
      <c r="B350" t="s">
        <v>424</v>
      </c>
      <c r="C350" s="6">
        <v>0.64690000000000003</v>
      </c>
      <c r="D350" s="6">
        <v>0.67500000000000004</v>
      </c>
      <c r="E350" s="6">
        <v>0.64159999999999995</v>
      </c>
      <c r="F350" s="6">
        <v>0.76200000000000001</v>
      </c>
    </row>
    <row r="351" spans="2:6">
      <c r="B351" t="s">
        <v>31</v>
      </c>
      <c r="C351" s="6">
        <v>0.17280000000000001</v>
      </c>
      <c r="D351" s="6">
        <v>0.19750000000000001</v>
      </c>
      <c r="E351" s="6">
        <v>0.16270000000000001</v>
      </c>
      <c r="F351" s="6">
        <v>0.1641</v>
      </c>
    </row>
    <row r="352" spans="2:6">
      <c r="B352" t="s">
        <v>154</v>
      </c>
      <c r="C352" s="6">
        <v>0.47399999999999998</v>
      </c>
      <c r="D352" s="6">
        <v>0.5302</v>
      </c>
      <c r="E352" s="6">
        <v>0</v>
      </c>
      <c r="F352" s="6">
        <v>0</v>
      </c>
    </row>
    <row r="353" spans="2:6">
      <c r="B353" t="s">
        <v>404</v>
      </c>
      <c r="C353" s="6">
        <v>6.6699999999999995E-2</v>
      </c>
      <c r="D353" s="6">
        <v>0.1164</v>
      </c>
      <c r="E353" s="6">
        <v>0.14760000000000001</v>
      </c>
      <c r="F353" s="6">
        <v>0.1663</v>
      </c>
    </row>
    <row r="354" spans="2:6">
      <c r="B354" t="s">
        <v>325</v>
      </c>
      <c r="C354" s="6">
        <v>0.24990000000000001</v>
      </c>
      <c r="D354" s="6">
        <v>0.23180000000000001</v>
      </c>
      <c r="E354" s="6">
        <v>0.20150000000000001</v>
      </c>
      <c r="F354" s="6">
        <v>0.1205</v>
      </c>
    </row>
    <row r="355" spans="2:6">
      <c r="B355" t="s">
        <v>402</v>
      </c>
      <c r="C355" s="6">
        <v>0.29110000000000003</v>
      </c>
      <c r="D355" s="6">
        <v>0.57150000000000001</v>
      </c>
      <c r="E355" s="6">
        <v>0.18440000000000001</v>
      </c>
      <c r="F355" s="6">
        <v>4.8999999999999998E-3</v>
      </c>
    </row>
    <row r="356" spans="2:6">
      <c r="B356" t="s">
        <v>401</v>
      </c>
      <c r="C356" s="6">
        <v>0.14610000000000001</v>
      </c>
      <c r="D356" s="6">
        <v>0.1414</v>
      </c>
      <c r="E356" s="6">
        <v>7.9500000000000001E-2</v>
      </c>
      <c r="F356" s="6">
        <v>0.1244</v>
      </c>
    </row>
    <row r="357" spans="2:6">
      <c r="B357" t="s">
        <v>336</v>
      </c>
      <c r="C357" s="6">
        <v>0.1021</v>
      </c>
      <c r="D357" s="6">
        <v>0.19789999999999999</v>
      </c>
      <c r="E357" s="6">
        <v>0.23080000000000001</v>
      </c>
      <c r="F357" s="6">
        <v>0.158</v>
      </c>
    </row>
    <row r="358" spans="2:6">
      <c r="B358" t="s">
        <v>358</v>
      </c>
      <c r="C358" s="6">
        <v>0.497</v>
      </c>
      <c r="D358" s="6">
        <v>0.11609999999999999</v>
      </c>
      <c r="E358" s="6">
        <v>0.2198</v>
      </c>
      <c r="F358" s="6">
        <v>0.2432</v>
      </c>
    </row>
    <row r="359" spans="2:6">
      <c r="B359" t="s">
        <v>65</v>
      </c>
      <c r="C359" s="6">
        <v>3.0800000000000001E-2</v>
      </c>
      <c r="D359" s="6">
        <v>2.47E-2</v>
      </c>
      <c r="E359" s="6">
        <v>9.7000000000000003E-3</v>
      </c>
      <c r="F359" s="6">
        <v>0</v>
      </c>
    </row>
    <row r="360" spans="2:6">
      <c r="B360" t="s">
        <v>58</v>
      </c>
      <c r="C360" s="6">
        <v>0.19900000000000001</v>
      </c>
      <c r="D360" s="6">
        <v>0.21199999999999999</v>
      </c>
      <c r="E360" s="6">
        <v>0.246</v>
      </c>
      <c r="F360" s="6">
        <v>0.29499999999999998</v>
      </c>
    </row>
    <row r="361" spans="2:6">
      <c r="B361" t="s">
        <v>7</v>
      </c>
      <c r="C361" s="6">
        <v>0.19989999999999999</v>
      </c>
      <c r="D361" s="6">
        <v>0.21110000000000001</v>
      </c>
      <c r="E361" s="6">
        <v>0.24060000000000001</v>
      </c>
      <c r="F361" s="6">
        <v>0.29049999999999998</v>
      </c>
    </row>
    <row r="362" spans="2:6">
      <c r="B362" t="s">
        <v>489</v>
      </c>
      <c r="C362" s="6">
        <v>0.58320000000000005</v>
      </c>
      <c r="D362" s="6">
        <v>0.30730000000000002</v>
      </c>
      <c r="E362" s="6">
        <v>0.3246</v>
      </c>
      <c r="F362" s="6">
        <v>0.30559999999999998</v>
      </c>
    </row>
    <row r="363" spans="2:6">
      <c r="B363" t="s">
        <v>14</v>
      </c>
      <c r="C363" s="6">
        <v>0.2014</v>
      </c>
      <c r="D363" s="6">
        <v>0.1701</v>
      </c>
      <c r="E363" s="6">
        <v>0.37530000000000002</v>
      </c>
      <c r="F363" s="6">
        <v>0.40189999999999998</v>
      </c>
    </row>
    <row r="364" spans="2:6">
      <c r="B364" t="s">
        <v>270</v>
      </c>
      <c r="C364" s="6">
        <v>0.35830000000000001</v>
      </c>
      <c r="D364" s="6">
        <v>0.43290000000000001</v>
      </c>
      <c r="E364" s="6">
        <v>0.40400000000000003</v>
      </c>
      <c r="F364" s="6">
        <v>0.50249999999999995</v>
      </c>
    </row>
    <row r="365" spans="2:6">
      <c r="B365" t="s">
        <v>438</v>
      </c>
      <c r="C365" s="6">
        <v>0.3735</v>
      </c>
      <c r="D365" s="6">
        <v>0.2455</v>
      </c>
      <c r="E365" s="6">
        <v>0.159</v>
      </c>
      <c r="F365" s="6">
        <v>0.15809999999999999</v>
      </c>
    </row>
    <row r="366" spans="2:6">
      <c r="B366" t="s">
        <v>208</v>
      </c>
      <c r="C366" s="6">
        <v>0.39539999999999997</v>
      </c>
      <c r="D366" s="6">
        <v>0.44529999999999997</v>
      </c>
      <c r="E366" s="6">
        <v>0.48559999999999998</v>
      </c>
      <c r="F366" s="6">
        <v>0.51119999999999999</v>
      </c>
    </row>
    <row r="367" spans="2:6">
      <c r="B367" t="s">
        <v>494</v>
      </c>
      <c r="C367" s="6">
        <v>0.59550000000000003</v>
      </c>
      <c r="D367" s="6">
        <v>0.84399999999999997</v>
      </c>
      <c r="E367" s="6">
        <v>5.6800000000000003E-2</v>
      </c>
      <c r="F367" s="6">
        <v>0</v>
      </c>
    </row>
    <row r="368" spans="2:6">
      <c r="B368" t="s">
        <v>281</v>
      </c>
      <c r="C368" s="6">
        <v>0.70569999999999999</v>
      </c>
      <c r="D368" s="6">
        <v>0.36580000000000001</v>
      </c>
      <c r="E368" s="6">
        <v>0.37019999999999997</v>
      </c>
      <c r="F368" s="6">
        <v>0.2611</v>
      </c>
    </row>
    <row r="369" spans="2:6">
      <c r="B369" t="s">
        <v>230</v>
      </c>
      <c r="C369" s="6">
        <v>5.8400000000000001E-2</v>
      </c>
      <c r="D369" s="6">
        <v>3.3300000000000003E-2</v>
      </c>
      <c r="E369" s="6">
        <v>2.1700000000000001E-2</v>
      </c>
      <c r="F369" s="6">
        <v>9.5999999999999992E-3</v>
      </c>
    </row>
    <row r="370" spans="2:6">
      <c r="B370" t="s">
        <v>268</v>
      </c>
      <c r="C370" s="6">
        <v>0</v>
      </c>
      <c r="D370" s="6">
        <v>0</v>
      </c>
      <c r="E370" s="6">
        <v>0</v>
      </c>
      <c r="F370" s="6">
        <v>0</v>
      </c>
    </row>
    <row r="371" spans="2:6">
      <c r="B371" t="s">
        <v>192</v>
      </c>
      <c r="C371" s="6">
        <v>0.47599999999999998</v>
      </c>
      <c r="D371" s="6">
        <v>0.26669999999999999</v>
      </c>
      <c r="E371" s="6">
        <v>0.30909999999999999</v>
      </c>
      <c r="F371" s="6">
        <v>0.1105</v>
      </c>
    </row>
    <row r="372" spans="2:6">
      <c r="B372" t="s">
        <v>100</v>
      </c>
      <c r="C372" s="6">
        <v>0.48509999999999998</v>
      </c>
      <c r="D372" s="6">
        <v>0.41320000000000001</v>
      </c>
      <c r="E372" s="6">
        <v>0.47310000000000002</v>
      </c>
      <c r="F372" s="6">
        <v>0.42730000000000001</v>
      </c>
    </row>
    <row r="373" spans="2:6">
      <c r="B373" t="s">
        <v>376</v>
      </c>
      <c r="C373" s="6">
        <v>0.1449</v>
      </c>
      <c r="D373" s="6">
        <v>0.27789999999999998</v>
      </c>
      <c r="E373" s="6">
        <v>0.2291</v>
      </c>
      <c r="F373" s="6">
        <v>0.15820000000000001</v>
      </c>
    </row>
    <row r="374" spans="2:6">
      <c r="B374" t="s">
        <v>308</v>
      </c>
      <c r="C374" s="6">
        <v>0.14630000000000001</v>
      </c>
      <c r="D374" s="6">
        <v>0.24709999999999999</v>
      </c>
      <c r="E374" s="6">
        <v>0.15870000000000001</v>
      </c>
      <c r="F374" s="6">
        <v>0.23680000000000001</v>
      </c>
    </row>
    <row r="375" spans="2:6">
      <c r="B375" t="s">
        <v>26</v>
      </c>
      <c r="C375" s="6">
        <v>0</v>
      </c>
      <c r="D375" s="6">
        <v>0</v>
      </c>
      <c r="E375" s="6">
        <v>0</v>
      </c>
      <c r="F375" s="6">
        <v>0</v>
      </c>
    </row>
    <row r="376" spans="2:6">
      <c r="B376" t="s">
        <v>433</v>
      </c>
      <c r="C376" s="6">
        <v>5.5800000000000002E-2</v>
      </c>
      <c r="D376" s="6">
        <v>5.0500000000000003E-2</v>
      </c>
      <c r="E376" s="6">
        <v>0.14899999999999999</v>
      </c>
      <c r="F376" s="6">
        <v>8.5000000000000006E-2</v>
      </c>
    </row>
    <row r="377" spans="2:6">
      <c r="B377" t="s">
        <v>437</v>
      </c>
      <c r="C377" s="6">
        <v>0.46389999999999998</v>
      </c>
      <c r="D377" s="6">
        <v>0.48170000000000002</v>
      </c>
      <c r="E377" s="6">
        <v>0.46920000000000001</v>
      </c>
      <c r="F377" s="6">
        <v>0.16869999999999999</v>
      </c>
    </row>
    <row r="378" spans="2:6">
      <c r="B378" t="s">
        <v>46</v>
      </c>
      <c r="C378" s="6">
        <v>0</v>
      </c>
      <c r="D378" s="6">
        <v>0</v>
      </c>
      <c r="E378" s="6">
        <v>0</v>
      </c>
      <c r="F378" s="6">
        <v>0</v>
      </c>
    </row>
    <row r="379" spans="2:6">
      <c r="B379" t="s">
        <v>823</v>
      </c>
      <c r="C379" s="6">
        <v>0.28139999999999998</v>
      </c>
      <c r="D379" s="6">
        <v>0.24540000000000001</v>
      </c>
      <c r="E379" s="6">
        <v>0.27429999999999999</v>
      </c>
      <c r="F379" s="6">
        <v>0.2969</v>
      </c>
    </row>
    <row r="380" spans="2:6">
      <c r="B380" t="s">
        <v>216</v>
      </c>
      <c r="C380" s="6">
        <v>9.4399999999999998E-2</v>
      </c>
      <c r="D380" s="6">
        <v>0</v>
      </c>
      <c r="E380" s="6">
        <v>0</v>
      </c>
      <c r="F380" s="6">
        <v>5.0500000000000003E-2</v>
      </c>
    </row>
    <row r="381" spans="2:6">
      <c r="B381" t="s">
        <v>209</v>
      </c>
      <c r="C381" s="6">
        <v>4.7000000000000002E-3</v>
      </c>
      <c r="D381" s="6">
        <v>4.0000000000000001E-3</v>
      </c>
      <c r="E381" s="6">
        <v>1.2200000000000001E-2</v>
      </c>
      <c r="F381" s="6">
        <v>6.54E-2</v>
      </c>
    </row>
    <row r="382" spans="2:6">
      <c r="B382" t="s">
        <v>248</v>
      </c>
      <c r="C382" s="6">
        <v>0.53300000000000003</v>
      </c>
      <c r="D382" s="6">
        <v>0.43030000000000002</v>
      </c>
      <c r="E382" s="6">
        <v>0.39689999999999998</v>
      </c>
      <c r="F382" s="6">
        <v>0.56179999999999997</v>
      </c>
    </row>
    <row r="383" spans="2:6">
      <c r="B383" t="s">
        <v>256</v>
      </c>
      <c r="C383" s="6">
        <v>0</v>
      </c>
      <c r="D383" s="6">
        <v>0.17849999999999999</v>
      </c>
      <c r="E383" s="6">
        <v>0.17749999999999999</v>
      </c>
      <c r="F383" s="6">
        <v>0.14119999999999999</v>
      </c>
    </row>
    <row r="384" spans="2:6">
      <c r="B384" t="s">
        <v>403</v>
      </c>
      <c r="C384" s="6">
        <v>0</v>
      </c>
      <c r="D384" s="6">
        <v>0</v>
      </c>
      <c r="E384" s="6">
        <v>1E-4</v>
      </c>
      <c r="F384" s="6">
        <v>2.9999999999999997E-4</v>
      </c>
    </row>
    <row r="385" spans="2:6">
      <c r="B385" t="s">
        <v>152</v>
      </c>
      <c r="C385" s="6">
        <v>1.6999999999999999E-3</v>
      </c>
      <c r="D385" s="6">
        <v>0.28899999999999998</v>
      </c>
      <c r="E385" s="6">
        <v>0.20899999999999999</v>
      </c>
      <c r="F385" s="6">
        <v>0.183</v>
      </c>
    </row>
    <row r="386" spans="2:6">
      <c r="B386" t="s">
        <v>280</v>
      </c>
      <c r="C386" s="6">
        <v>5.9999999999999995E-4</v>
      </c>
      <c r="D386" s="6">
        <v>8.9999999999999998E-4</v>
      </c>
      <c r="E386" s="6">
        <v>0</v>
      </c>
      <c r="F386" s="6">
        <v>0</v>
      </c>
    </row>
    <row r="387" spans="2:6">
      <c r="B387" t="s">
        <v>348</v>
      </c>
      <c r="C387" s="6">
        <v>0</v>
      </c>
      <c r="D387" s="6">
        <v>0</v>
      </c>
      <c r="E387" s="6">
        <v>0</v>
      </c>
      <c r="F387" s="6">
        <v>0</v>
      </c>
    </row>
    <row r="388" spans="2:6">
      <c r="B388" t="s">
        <v>97</v>
      </c>
      <c r="C388" s="6">
        <v>0.27739999999999998</v>
      </c>
      <c r="D388" s="6">
        <v>0.28110000000000002</v>
      </c>
      <c r="E388" s="6">
        <v>0.29149999999999998</v>
      </c>
      <c r="F388" s="6">
        <v>0.30299999999999999</v>
      </c>
    </row>
    <row r="389" spans="2:6">
      <c r="B389" t="s">
        <v>108</v>
      </c>
      <c r="C389" s="6">
        <v>0.1358</v>
      </c>
      <c r="D389" s="6">
        <v>7.3499999999999996E-2</v>
      </c>
      <c r="E389" s="6">
        <v>6.6100000000000006E-2</v>
      </c>
      <c r="F389" s="6">
        <v>3.1199999999999999E-2</v>
      </c>
    </row>
    <row r="390" spans="2:6">
      <c r="B390" t="s">
        <v>224</v>
      </c>
      <c r="C390" s="6">
        <v>0.38900000000000001</v>
      </c>
      <c r="D390" s="6">
        <v>0.36399999999999999</v>
      </c>
      <c r="E390" s="6">
        <v>0.40610000000000002</v>
      </c>
      <c r="F390" s="6">
        <v>0.40129999999999999</v>
      </c>
    </row>
    <row r="391" spans="2:6">
      <c r="B391" t="s">
        <v>126</v>
      </c>
      <c r="C391" s="6">
        <v>0.34389999999999998</v>
      </c>
      <c r="D391" s="6">
        <v>0.32769999999999999</v>
      </c>
      <c r="E391" s="6">
        <v>0.30080000000000001</v>
      </c>
      <c r="F391" s="6">
        <v>0.27789999999999998</v>
      </c>
    </row>
    <row r="392" spans="2:6">
      <c r="B392" t="s">
        <v>93</v>
      </c>
      <c r="C392" s="6">
        <v>3.2000000000000002E-3</v>
      </c>
      <c r="D392" s="6">
        <v>1.8E-3</v>
      </c>
      <c r="E392" s="6">
        <v>5.9999999999999995E-4</v>
      </c>
      <c r="F392" s="6">
        <v>0</v>
      </c>
    </row>
    <row r="393" spans="2:6">
      <c r="B393" t="s">
        <v>128</v>
      </c>
      <c r="C393" s="6">
        <v>0.31569999999999998</v>
      </c>
      <c r="D393" s="6">
        <v>0.29110000000000003</v>
      </c>
      <c r="E393" s="6">
        <v>0.40060000000000001</v>
      </c>
      <c r="F393" s="6">
        <v>0.47670000000000001</v>
      </c>
    </row>
    <row r="394" spans="2:6">
      <c r="B394" t="s">
        <v>99</v>
      </c>
      <c r="C394" s="6">
        <v>0.4748</v>
      </c>
      <c r="D394" s="6">
        <v>0.47960000000000003</v>
      </c>
      <c r="E394" s="6">
        <v>0.50019999999999998</v>
      </c>
      <c r="F394" s="6">
        <v>0.54830000000000001</v>
      </c>
    </row>
    <row r="395" spans="2:6">
      <c r="B395" t="s">
        <v>180</v>
      </c>
      <c r="C395" s="6">
        <v>0.27189999999999998</v>
      </c>
      <c r="D395" s="6">
        <v>0.27160000000000001</v>
      </c>
      <c r="E395" s="6">
        <v>0.32829999999999998</v>
      </c>
      <c r="F395" s="6">
        <v>0.28770000000000001</v>
      </c>
    </row>
    <row r="396" spans="2:6">
      <c r="B396" t="s">
        <v>125</v>
      </c>
      <c r="C396" s="6">
        <v>0.26719999999999999</v>
      </c>
      <c r="D396" s="6">
        <v>0.41339999999999999</v>
      </c>
      <c r="E396" s="6">
        <v>0.39929999999999999</v>
      </c>
      <c r="F396" s="6">
        <v>1.2999999999999999E-3</v>
      </c>
    </row>
    <row r="397" spans="2:6">
      <c r="B397" t="s">
        <v>171</v>
      </c>
      <c r="C397" s="6">
        <v>0.18190000000000001</v>
      </c>
      <c r="D397" s="6">
        <v>0.12859999999999999</v>
      </c>
      <c r="E397" s="6">
        <v>0.1958</v>
      </c>
      <c r="F397" s="6">
        <v>0.12470000000000001</v>
      </c>
    </row>
    <row r="398" spans="2:6">
      <c r="B398" t="s">
        <v>174</v>
      </c>
      <c r="C398" s="6">
        <v>0.40460000000000002</v>
      </c>
      <c r="D398" s="6">
        <v>0.3891</v>
      </c>
      <c r="E398" s="6">
        <v>4.3499999999999997E-2</v>
      </c>
      <c r="F398" s="6">
        <v>0.22259999999999999</v>
      </c>
    </row>
    <row r="399" spans="2:6">
      <c r="B399" t="s">
        <v>350</v>
      </c>
      <c r="C399" s="6">
        <v>0.3211</v>
      </c>
      <c r="D399" s="6">
        <v>0.2432</v>
      </c>
      <c r="E399" s="6">
        <v>0.29049999999999998</v>
      </c>
      <c r="F399" s="6">
        <v>7.1900000000000006E-2</v>
      </c>
    </row>
    <row r="400" spans="2:6">
      <c r="B400" t="s">
        <v>72</v>
      </c>
      <c r="C400" s="6">
        <v>0</v>
      </c>
      <c r="D400" s="6">
        <v>0</v>
      </c>
      <c r="E400" s="6">
        <v>0</v>
      </c>
      <c r="F400" s="6">
        <v>3.3399999999999999E-2</v>
      </c>
    </row>
    <row r="401" spans="2:6">
      <c r="B401" t="s">
        <v>366</v>
      </c>
      <c r="C401" s="6">
        <v>0.40189999999999998</v>
      </c>
      <c r="D401" s="6">
        <v>0.503</v>
      </c>
      <c r="E401" s="6">
        <v>0</v>
      </c>
      <c r="F401" s="6">
        <v>0</v>
      </c>
    </row>
    <row r="402" spans="2:6">
      <c r="B402" t="s">
        <v>375</v>
      </c>
      <c r="C402" s="6">
        <v>0.1384</v>
      </c>
      <c r="D402" s="6">
        <v>0.12479999999999999</v>
      </c>
      <c r="E402" s="6">
        <v>0.29809999999999998</v>
      </c>
      <c r="F402" s="6">
        <v>0.21920000000000001</v>
      </c>
    </row>
    <row r="403" spans="2:6">
      <c r="B403" t="s">
        <v>28</v>
      </c>
      <c r="C403" s="6">
        <v>0.42330000000000001</v>
      </c>
      <c r="D403" s="6">
        <v>0.47820000000000001</v>
      </c>
      <c r="E403" s="6">
        <v>0.52729999999999999</v>
      </c>
      <c r="F403" s="6">
        <v>0.53739999999999999</v>
      </c>
    </row>
    <row r="404" spans="2:6">
      <c r="B404" t="s">
        <v>446</v>
      </c>
      <c r="C404" s="6">
        <v>0.6653</v>
      </c>
      <c r="D404" s="6">
        <v>0.67259999999999998</v>
      </c>
      <c r="E404" s="6">
        <v>0.55679999999999996</v>
      </c>
      <c r="F404" s="6">
        <v>0.69520000000000004</v>
      </c>
    </row>
    <row r="405" spans="2:6">
      <c r="B405" t="s">
        <v>228</v>
      </c>
      <c r="C405" s="6">
        <v>0.19470000000000001</v>
      </c>
      <c r="D405" s="6">
        <v>8.5099999999999995E-2</v>
      </c>
      <c r="E405" s="6">
        <v>4.36E-2</v>
      </c>
      <c r="F405" s="6">
        <v>4.9299999999999997E-2</v>
      </c>
    </row>
    <row r="406" spans="2:6">
      <c r="B406" t="s">
        <v>312</v>
      </c>
      <c r="C406" s="6">
        <v>0.1817</v>
      </c>
      <c r="D406" s="6">
        <v>0.24079999999999999</v>
      </c>
      <c r="E406" s="6">
        <v>2.7799999999999998E-2</v>
      </c>
      <c r="F406" s="6">
        <v>9.6699999999999994E-2</v>
      </c>
    </row>
    <row r="407" spans="2:6">
      <c r="B407" t="s">
        <v>416</v>
      </c>
      <c r="C407" s="6">
        <v>0.21079999999999999</v>
      </c>
      <c r="D407" s="6">
        <v>0.24909999999999999</v>
      </c>
      <c r="E407" s="6">
        <v>0.25750000000000001</v>
      </c>
      <c r="F407" s="6">
        <v>0.23580000000000001</v>
      </c>
    </row>
    <row r="408" spans="2:6">
      <c r="B408" t="s">
        <v>139</v>
      </c>
      <c r="C408" s="6">
        <v>6.9699999999999998E-2</v>
      </c>
      <c r="D408" s="6">
        <v>4.3400000000000001E-2</v>
      </c>
      <c r="E408" s="6">
        <v>3.2099999999999997E-2</v>
      </c>
      <c r="F408" s="6">
        <v>2.6100000000000002E-2</v>
      </c>
    </row>
    <row r="409" spans="2:6">
      <c r="B409" t="s">
        <v>55</v>
      </c>
      <c r="C409" s="6">
        <v>0.1431</v>
      </c>
      <c r="D409" s="6">
        <v>0.18559999999999999</v>
      </c>
      <c r="E409" s="6">
        <v>0.25600000000000001</v>
      </c>
      <c r="F409" s="6">
        <v>0.28160000000000002</v>
      </c>
    </row>
    <row r="410" spans="2:6">
      <c r="B410" t="s">
        <v>69</v>
      </c>
      <c r="C410" s="6">
        <v>0.1416</v>
      </c>
      <c r="D410" s="6">
        <v>0.2046</v>
      </c>
      <c r="E410" s="6">
        <v>0.18909999999999999</v>
      </c>
      <c r="F410" s="6">
        <v>0.35139999999999999</v>
      </c>
    </row>
    <row r="411" spans="2:6">
      <c r="B411" t="s">
        <v>337</v>
      </c>
      <c r="C411" s="6">
        <v>0.10580000000000001</v>
      </c>
      <c r="D411" s="6">
        <v>0.28970000000000001</v>
      </c>
      <c r="E411" s="6">
        <v>0.30669999999999997</v>
      </c>
      <c r="F411" s="6">
        <v>0.23619999999999999</v>
      </c>
    </row>
    <row r="412" spans="2:6">
      <c r="B412" t="s">
        <v>11</v>
      </c>
      <c r="C412" s="6">
        <v>8.72E-2</v>
      </c>
      <c r="D412" s="6">
        <v>8.0100000000000005E-2</v>
      </c>
      <c r="E412" s="6">
        <v>7.8799999999999995E-2</v>
      </c>
      <c r="F412" s="6">
        <v>9.2499999999999999E-2</v>
      </c>
    </row>
    <row r="413" spans="2:6">
      <c r="B413" t="s">
        <v>263</v>
      </c>
      <c r="C413" s="6">
        <v>1.4500000000000001E-2</v>
      </c>
      <c r="D413" s="6">
        <v>1.04E-2</v>
      </c>
      <c r="E413" s="6">
        <v>5.7999999999999996E-3</v>
      </c>
      <c r="F413" s="6">
        <v>2.2800000000000001E-2</v>
      </c>
    </row>
    <row r="414" spans="2:6">
      <c r="B414" t="s">
        <v>373</v>
      </c>
      <c r="C414" s="6">
        <v>0.26150000000000001</v>
      </c>
      <c r="D414" s="6">
        <v>0.2944</v>
      </c>
      <c r="E414" s="6">
        <v>0.27860000000000001</v>
      </c>
      <c r="F414" s="6">
        <v>0.31390000000000001</v>
      </c>
    </row>
    <row r="415" spans="2:6">
      <c r="B415" t="s">
        <v>425</v>
      </c>
      <c r="C415" s="6">
        <v>0.31929999999999997</v>
      </c>
      <c r="D415" s="6">
        <v>0.34620000000000001</v>
      </c>
      <c r="E415" s="6">
        <v>0.23130000000000001</v>
      </c>
      <c r="F415" s="6">
        <v>0.19670000000000001</v>
      </c>
    </row>
    <row r="416" spans="2:6">
      <c r="B416" t="s">
        <v>92</v>
      </c>
      <c r="C416" s="6">
        <v>0.3695</v>
      </c>
      <c r="D416" s="6">
        <v>0.35020000000000001</v>
      </c>
      <c r="E416" s="6">
        <v>0.37040000000000001</v>
      </c>
      <c r="F416" s="6">
        <v>0</v>
      </c>
    </row>
    <row r="417" spans="2:6">
      <c r="B417" t="s">
        <v>150</v>
      </c>
      <c r="C417" s="6">
        <v>3.4500000000000003E-2</v>
      </c>
      <c r="D417" s="6">
        <v>2.4199999999999999E-2</v>
      </c>
      <c r="E417" s="6">
        <v>2.3099999999999999E-2</v>
      </c>
      <c r="F417" s="6">
        <v>3.2500000000000001E-2</v>
      </c>
    </row>
    <row r="418" spans="2:6">
      <c r="B418" t="s">
        <v>306</v>
      </c>
      <c r="C418" s="6">
        <v>0.45379999999999998</v>
      </c>
      <c r="D418" s="6">
        <v>0.45</v>
      </c>
      <c r="E418" s="6">
        <v>0.46410000000000001</v>
      </c>
      <c r="F418" s="6">
        <v>0.46800000000000003</v>
      </c>
    </row>
    <row r="419" spans="2:6">
      <c r="B419" t="s">
        <v>333</v>
      </c>
      <c r="C419" s="6">
        <v>0</v>
      </c>
      <c r="D419" s="6">
        <v>0</v>
      </c>
      <c r="E419" s="6">
        <v>0.13880000000000001</v>
      </c>
      <c r="F419" s="6">
        <v>0.59150000000000003</v>
      </c>
    </row>
    <row r="420" spans="2:6">
      <c r="B420" t="s">
        <v>837</v>
      </c>
      <c r="C420" s="6">
        <v>0.51829999999999998</v>
      </c>
      <c r="D420" s="6">
        <v>0.41870000000000002</v>
      </c>
      <c r="E420" s="6">
        <v>0.30620000000000003</v>
      </c>
      <c r="F420" s="6">
        <v>0.30640000000000001</v>
      </c>
    </row>
    <row r="421" spans="2:6">
      <c r="B421" t="s">
        <v>21</v>
      </c>
      <c r="C421" s="6">
        <v>0.41270000000000001</v>
      </c>
      <c r="D421" s="6">
        <v>0.42970000000000003</v>
      </c>
      <c r="E421" s="6">
        <v>0.30969999999999998</v>
      </c>
      <c r="F421" s="6">
        <v>0.36780000000000002</v>
      </c>
    </row>
    <row r="422" spans="2:6">
      <c r="B422" t="s">
        <v>54</v>
      </c>
      <c r="C422" s="6">
        <v>0.36909999999999998</v>
      </c>
      <c r="D422" s="6">
        <v>0.4239</v>
      </c>
      <c r="E422" s="6">
        <v>0.41610000000000003</v>
      </c>
      <c r="F422" s="6">
        <v>0.46650000000000003</v>
      </c>
    </row>
    <row r="423" spans="2:6">
      <c r="B423" t="s">
        <v>186</v>
      </c>
      <c r="C423" s="6">
        <v>0.41739999999999999</v>
      </c>
      <c r="D423" s="6">
        <v>0.42470000000000002</v>
      </c>
      <c r="E423" s="6">
        <v>0.42980000000000002</v>
      </c>
      <c r="F423" s="6">
        <v>0.47810000000000002</v>
      </c>
    </row>
    <row r="424" spans="2:6">
      <c r="B424" t="s">
        <v>390</v>
      </c>
      <c r="C424" s="6">
        <v>0.5645</v>
      </c>
      <c r="D424" s="6">
        <v>0.60809999999999997</v>
      </c>
      <c r="E424" s="6">
        <v>0.66120000000000001</v>
      </c>
      <c r="F424" s="6">
        <v>0.65010000000000001</v>
      </c>
    </row>
    <row r="425" spans="2:6">
      <c r="B425" t="s">
        <v>330</v>
      </c>
      <c r="C425" s="6">
        <v>0.1757</v>
      </c>
      <c r="D425" s="6">
        <v>0.15590000000000001</v>
      </c>
      <c r="E425" s="6">
        <v>0.11020000000000001</v>
      </c>
      <c r="F425" s="6">
        <v>7.4200000000000002E-2</v>
      </c>
    </row>
    <row r="426" spans="2:6">
      <c r="B426" t="s">
        <v>246</v>
      </c>
      <c r="C426" s="6">
        <v>0.34079999999999999</v>
      </c>
      <c r="D426" s="6">
        <v>0.38150000000000001</v>
      </c>
      <c r="E426" s="6">
        <v>0.36020000000000002</v>
      </c>
      <c r="F426" s="6">
        <v>0.309</v>
      </c>
    </row>
    <row r="427" spans="2:6">
      <c r="B427" t="s">
        <v>0</v>
      </c>
      <c r="C427" s="6">
        <v>0.6</v>
      </c>
      <c r="D427" s="6">
        <v>0.5484</v>
      </c>
      <c r="E427" s="6">
        <v>0.52839999999999998</v>
      </c>
      <c r="F427" s="6">
        <v>0.5484</v>
      </c>
    </row>
    <row r="428" spans="2:6">
      <c r="B428" t="s">
        <v>354</v>
      </c>
      <c r="C428" s="6">
        <v>0.51080000000000003</v>
      </c>
      <c r="D428" s="6">
        <v>0.443</v>
      </c>
      <c r="E428" s="6">
        <v>0.2137</v>
      </c>
      <c r="F428" s="6">
        <v>0.309</v>
      </c>
    </row>
    <row r="429" spans="2:6">
      <c r="B429" t="s">
        <v>834</v>
      </c>
      <c r="C429" s="6">
        <v>0.108</v>
      </c>
      <c r="D429" s="6">
        <v>0.1162</v>
      </c>
      <c r="E429" s="6">
        <v>0.13589999999999999</v>
      </c>
      <c r="F429" s="6">
        <v>0.15720000000000001</v>
      </c>
    </row>
    <row r="430" spans="2:6">
      <c r="B430" t="s">
        <v>503</v>
      </c>
      <c r="C430" s="6">
        <v>0.55940000000000001</v>
      </c>
      <c r="D430" s="6">
        <v>0.56789999999999996</v>
      </c>
      <c r="E430" s="6">
        <v>0.4123</v>
      </c>
      <c r="F430" s="6">
        <v>0.3821</v>
      </c>
    </row>
    <row r="431" spans="2:6">
      <c r="B431" t="s">
        <v>243</v>
      </c>
      <c r="C431" s="6">
        <v>2.2528000000000001</v>
      </c>
      <c r="D431" s="6">
        <v>2.8191999999999999</v>
      </c>
      <c r="E431" s="6">
        <v>0.55069999999999997</v>
      </c>
      <c r="F431" s="6">
        <v>0.76949999999999996</v>
      </c>
    </row>
    <row r="432" spans="2:6">
      <c r="B432" t="s">
        <v>146</v>
      </c>
      <c r="C432" s="6">
        <v>0.5796</v>
      </c>
      <c r="D432" s="6">
        <v>0.43659999999999999</v>
      </c>
      <c r="E432" s="6">
        <v>0.45619999999999999</v>
      </c>
      <c r="F432" s="6">
        <v>0.43259999999999998</v>
      </c>
    </row>
    <row r="433" spans="2:6">
      <c r="B433" t="s">
        <v>168</v>
      </c>
      <c r="C433" s="6">
        <v>0.34570000000000001</v>
      </c>
      <c r="D433" s="6">
        <v>0.35870000000000002</v>
      </c>
      <c r="E433" s="6">
        <v>0.23749999999999999</v>
      </c>
      <c r="F433" s="6">
        <v>0.20660000000000001</v>
      </c>
    </row>
    <row r="434" spans="2:6">
      <c r="B434" t="s">
        <v>257</v>
      </c>
      <c r="C434" s="6">
        <v>0</v>
      </c>
      <c r="D434" s="6">
        <v>0</v>
      </c>
      <c r="E434" s="6">
        <v>0</v>
      </c>
      <c r="F434" s="6">
        <v>0</v>
      </c>
    </row>
    <row r="435" spans="2:6">
      <c r="B435" t="s">
        <v>405</v>
      </c>
      <c r="C435" s="6">
        <v>0</v>
      </c>
      <c r="D435" s="6">
        <v>0</v>
      </c>
      <c r="E435" s="6">
        <v>0</v>
      </c>
      <c r="F435" s="6">
        <v>0</v>
      </c>
    </row>
    <row r="436" spans="2:6">
      <c r="B436" t="s">
        <v>101</v>
      </c>
      <c r="C436" s="6">
        <v>0.3569</v>
      </c>
      <c r="D436" s="6">
        <v>0.3271</v>
      </c>
      <c r="E436" s="6">
        <v>0.36940000000000001</v>
      </c>
      <c r="F436" s="6">
        <v>0.36699999999999999</v>
      </c>
    </row>
    <row r="437" spans="2:6">
      <c r="B437" t="s">
        <v>258</v>
      </c>
      <c r="C437" s="6">
        <v>0.38800000000000001</v>
      </c>
      <c r="D437" s="6">
        <v>0.37309999999999999</v>
      </c>
      <c r="E437" s="6">
        <v>0.34499999999999997</v>
      </c>
      <c r="F437" s="6">
        <v>0.311</v>
      </c>
    </row>
    <row r="438" spans="2:6">
      <c r="B438" t="s">
        <v>199</v>
      </c>
      <c r="C438" s="6">
        <v>0.57579999999999998</v>
      </c>
      <c r="D438" s="6">
        <v>0.42259999999999998</v>
      </c>
      <c r="E438" s="6">
        <v>0.38540000000000002</v>
      </c>
      <c r="F438" s="6">
        <v>0.3679</v>
      </c>
    </row>
    <row r="439" spans="2:6">
      <c r="B439" t="s">
        <v>361</v>
      </c>
      <c r="C439" s="6">
        <v>0.4521</v>
      </c>
      <c r="D439" s="6">
        <v>0.45779999999999998</v>
      </c>
      <c r="E439" s="6">
        <v>0.43190000000000001</v>
      </c>
      <c r="F439" s="6">
        <v>0.3579</v>
      </c>
    </row>
    <row r="440" spans="2:6">
      <c r="B440" t="s">
        <v>133</v>
      </c>
      <c r="C440" s="6">
        <v>2.98E-2</v>
      </c>
      <c r="D440" s="6">
        <v>6.1999999999999998E-3</v>
      </c>
      <c r="E440" s="6">
        <v>0</v>
      </c>
      <c r="F440" s="6">
        <v>0</v>
      </c>
    </row>
    <row r="441" spans="2:6">
      <c r="B441" t="s">
        <v>250</v>
      </c>
      <c r="C441" s="6">
        <v>0.24490000000000001</v>
      </c>
      <c r="D441" s="6">
        <v>0.14990000000000001</v>
      </c>
      <c r="E441" s="6">
        <v>0.1081</v>
      </c>
      <c r="F441" s="6">
        <v>0.13639999999999999</v>
      </c>
    </row>
    <row r="442" spans="2:6">
      <c r="B442" t="s">
        <v>806</v>
      </c>
      <c r="C442" s="6">
        <v>4.2999999999999997E-2</v>
      </c>
      <c r="D442" s="6">
        <v>1.24E-2</v>
      </c>
      <c r="E442" s="6">
        <v>1E-3</v>
      </c>
      <c r="F442" s="6">
        <v>1.6999999999999999E-3</v>
      </c>
    </row>
    <row r="443" spans="2:6">
      <c r="B443" t="s">
        <v>498</v>
      </c>
      <c r="C443" s="6">
        <v>1.7999999999999999E-2</v>
      </c>
      <c r="D443" s="6">
        <v>9.4899999999999998E-2</v>
      </c>
      <c r="E443" s="6">
        <v>0.22070000000000001</v>
      </c>
      <c r="F443" s="6">
        <v>2.8400000000000002E-2</v>
      </c>
    </row>
    <row r="444" spans="2:6">
      <c r="B444" t="s">
        <v>40</v>
      </c>
      <c r="C444" s="6">
        <v>0.34129999999999999</v>
      </c>
      <c r="D444" s="6">
        <v>0.25650000000000001</v>
      </c>
      <c r="E444" s="6">
        <v>0.2034</v>
      </c>
      <c r="F444" s="6">
        <v>0.14749999999999999</v>
      </c>
    </row>
    <row r="445" spans="2:6">
      <c r="B445" t="s">
        <v>226</v>
      </c>
      <c r="C445" s="6">
        <v>7.5899999999999995E-2</v>
      </c>
      <c r="D445" s="6">
        <v>9.74E-2</v>
      </c>
      <c r="E445" s="6">
        <v>6.8500000000000005E-2</v>
      </c>
      <c r="F445" s="6">
        <v>4.2000000000000003E-2</v>
      </c>
    </row>
    <row r="446" spans="2:6">
      <c r="B446" t="s">
        <v>172</v>
      </c>
      <c r="C446" s="6">
        <v>6.9000000000000006E-2</v>
      </c>
      <c r="D446" s="6">
        <v>6.25E-2</v>
      </c>
      <c r="E446" s="6">
        <v>6.3700000000000007E-2</v>
      </c>
      <c r="F446" s="6">
        <v>6.6500000000000004E-2</v>
      </c>
    </row>
    <row r="447" spans="2:6">
      <c r="B447" t="s">
        <v>833</v>
      </c>
      <c r="C447" s="6">
        <v>0</v>
      </c>
      <c r="D447" s="6">
        <v>0</v>
      </c>
      <c r="E447" s="6">
        <v>0</v>
      </c>
      <c r="F447" s="6">
        <v>0</v>
      </c>
    </row>
    <row r="448" spans="2:6">
      <c r="B448" t="s">
        <v>294</v>
      </c>
      <c r="C448" s="6">
        <v>0.1961</v>
      </c>
      <c r="D448" s="6">
        <v>0.28370000000000001</v>
      </c>
      <c r="E448" s="6">
        <v>0.309</v>
      </c>
      <c r="F448" s="6">
        <v>0.40689999999999998</v>
      </c>
    </row>
    <row r="449" spans="2:6">
      <c r="B449" t="s">
        <v>807</v>
      </c>
      <c r="C449" s="6">
        <v>0.17699999999999999</v>
      </c>
      <c r="D449" s="6">
        <v>0.1787</v>
      </c>
      <c r="E449" s="6">
        <v>0.21379999999999999</v>
      </c>
      <c r="F449" s="6">
        <v>0.23549999999999999</v>
      </c>
    </row>
    <row r="450" spans="2:6">
      <c r="B450" t="s">
        <v>60</v>
      </c>
      <c r="C450" s="6">
        <v>0.2772</v>
      </c>
      <c r="D450" s="6">
        <v>0.35849999999999999</v>
      </c>
      <c r="E450" s="6">
        <v>0.40989999999999999</v>
      </c>
      <c r="F450" s="6">
        <v>0.4017</v>
      </c>
    </row>
    <row r="451" spans="2:6">
      <c r="B451" t="s">
        <v>253</v>
      </c>
      <c r="C451" s="6">
        <v>0.32240000000000002</v>
      </c>
      <c r="D451" s="6">
        <v>0.31480000000000002</v>
      </c>
      <c r="E451" s="6">
        <v>0.32179999999999997</v>
      </c>
      <c r="F451" s="6">
        <v>0.31540000000000001</v>
      </c>
    </row>
    <row r="452" spans="2:6">
      <c r="B452" t="s">
        <v>830</v>
      </c>
      <c r="C452" s="6">
        <v>0.32540000000000002</v>
      </c>
      <c r="D452" s="6">
        <v>0.27500000000000002</v>
      </c>
      <c r="E452" s="6">
        <v>0.19489999999999999</v>
      </c>
      <c r="F452" s="6">
        <v>0.2034</v>
      </c>
    </row>
    <row r="453" spans="2:6">
      <c r="B453" t="s">
        <v>189</v>
      </c>
      <c r="C453" s="6">
        <v>2.92E-2</v>
      </c>
      <c r="D453" s="6">
        <v>3.9899999999999998E-2</v>
      </c>
      <c r="E453" s="6">
        <v>6.2199999999999998E-2</v>
      </c>
      <c r="F453" s="6">
        <v>7.1900000000000006E-2</v>
      </c>
    </row>
    <row r="454" spans="2:6">
      <c r="B454" t="s">
        <v>326</v>
      </c>
      <c r="C454" s="6">
        <v>2.0299999999999999E-2</v>
      </c>
      <c r="D454" s="6">
        <v>2.1000000000000001E-2</v>
      </c>
      <c r="E454" s="6">
        <v>2.2700000000000001E-2</v>
      </c>
      <c r="F454" s="6">
        <v>0</v>
      </c>
    </row>
    <row r="455" spans="2:6">
      <c r="B455" t="s">
        <v>287</v>
      </c>
      <c r="C455" s="6">
        <v>0.19900000000000001</v>
      </c>
      <c r="D455" s="6">
        <v>3.0300000000000001E-2</v>
      </c>
      <c r="E455" s="6">
        <v>0.1242</v>
      </c>
      <c r="F455" s="6">
        <v>8.3000000000000001E-3</v>
      </c>
    </row>
    <row r="456" spans="2:6">
      <c r="B456" t="s">
        <v>51</v>
      </c>
      <c r="C456" s="6">
        <v>0.18149999999999999</v>
      </c>
      <c r="D456" s="6">
        <v>0.31090000000000001</v>
      </c>
      <c r="E456" s="6">
        <v>0.4037</v>
      </c>
      <c r="F456" s="6">
        <v>0.56779999999999997</v>
      </c>
    </row>
    <row r="457" spans="2:6">
      <c r="B457" t="s">
        <v>836</v>
      </c>
      <c r="C457" s="6">
        <v>0.48259999999999997</v>
      </c>
      <c r="D457" s="6">
        <v>0.51090000000000002</v>
      </c>
      <c r="E457" s="6">
        <v>0.5454</v>
      </c>
      <c r="F457" s="6">
        <v>0.45040000000000002</v>
      </c>
    </row>
    <row r="458" spans="2:6">
      <c r="B458" t="s">
        <v>327</v>
      </c>
      <c r="C458" s="6">
        <v>0.19550000000000001</v>
      </c>
      <c r="D458" s="6">
        <v>0.21970000000000001</v>
      </c>
      <c r="E458" s="6">
        <v>0.22720000000000001</v>
      </c>
      <c r="F458" s="6">
        <v>0.24729999999999999</v>
      </c>
    </row>
    <row r="459" spans="2:6">
      <c r="B459" t="s">
        <v>141</v>
      </c>
      <c r="C459" s="6">
        <v>0.46089999999999998</v>
      </c>
      <c r="D459" s="6">
        <v>0.46110000000000001</v>
      </c>
      <c r="E459" s="6">
        <v>0.52749999999999997</v>
      </c>
      <c r="F459" s="6">
        <v>0.52110000000000001</v>
      </c>
    </row>
    <row r="460" spans="2:6">
      <c r="B460" t="s">
        <v>249</v>
      </c>
      <c r="C460" s="6">
        <v>0.30409999999999998</v>
      </c>
      <c r="D460" s="6">
        <v>0.2848</v>
      </c>
      <c r="E460" s="6">
        <v>0.40179999999999999</v>
      </c>
      <c r="F460" s="6">
        <v>0.42759999999999998</v>
      </c>
    </row>
    <row r="461" spans="2:6">
      <c r="B461" t="s">
        <v>147</v>
      </c>
      <c r="C461" s="6">
        <v>8.6999999999999994E-3</v>
      </c>
      <c r="D461" s="6">
        <v>5.1999999999999998E-3</v>
      </c>
      <c r="E461" s="6">
        <v>0</v>
      </c>
      <c r="F461" s="6">
        <v>0</v>
      </c>
    </row>
    <row r="462" spans="2:6">
      <c r="B462" t="s">
        <v>472</v>
      </c>
      <c r="C462" s="6">
        <v>0.4546</v>
      </c>
      <c r="D462" s="6">
        <v>0.2858</v>
      </c>
      <c r="E462" s="6">
        <v>0.33439999999999998</v>
      </c>
      <c r="F462" s="6">
        <v>0.3468</v>
      </c>
    </row>
    <row r="463" spans="2:6">
      <c r="B463" t="s">
        <v>53</v>
      </c>
      <c r="C463" s="6">
        <v>0.75760000000000005</v>
      </c>
      <c r="D463" s="6">
        <v>0.79620000000000002</v>
      </c>
      <c r="E463" s="6">
        <v>0.67310000000000003</v>
      </c>
      <c r="F463" s="6">
        <v>0.74370000000000003</v>
      </c>
    </row>
    <row r="464" spans="2:6">
      <c r="B464" t="s">
        <v>318</v>
      </c>
      <c r="C464" s="6">
        <v>0.32450000000000001</v>
      </c>
      <c r="D464" s="6">
        <v>0.43140000000000001</v>
      </c>
      <c r="E464" s="6">
        <v>0.2356</v>
      </c>
      <c r="F464" s="6">
        <v>0.153</v>
      </c>
    </row>
    <row r="465" spans="2:6">
      <c r="B465" t="s">
        <v>296</v>
      </c>
      <c r="C465" s="6">
        <v>0.40389999999999998</v>
      </c>
      <c r="D465" s="6">
        <v>0.33339999999999997</v>
      </c>
      <c r="E465" s="6">
        <v>0.2545</v>
      </c>
      <c r="F465" s="6">
        <v>0.2185</v>
      </c>
    </row>
    <row r="466" spans="2:6">
      <c r="B466" t="s">
        <v>349</v>
      </c>
      <c r="C466" s="6">
        <v>0.315</v>
      </c>
      <c r="D466" s="6">
        <v>0.26779999999999998</v>
      </c>
      <c r="E466" s="6">
        <v>0.3775</v>
      </c>
      <c r="F466" s="6">
        <v>0.3866</v>
      </c>
    </row>
    <row r="467" spans="2:6">
      <c r="B467" t="s">
        <v>300</v>
      </c>
      <c r="C467" s="6">
        <v>0.48730000000000001</v>
      </c>
      <c r="D467" s="6">
        <v>0.48099999999999998</v>
      </c>
      <c r="E467" s="6">
        <v>0.50560000000000005</v>
      </c>
      <c r="F467" s="6">
        <v>0.31769999999999998</v>
      </c>
    </row>
    <row r="468" spans="2:6">
      <c r="B468" t="s">
        <v>316</v>
      </c>
      <c r="C468" s="6">
        <v>0.22370000000000001</v>
      </c>
      <c r="D468" s="6">
        <v>0.19620000000000001</v>
      </c>
      <c r="E468" s="6">
        <v>0.1928</v>
      </c>
      <c r="F468" s="6">
        <v>0.28360000000000002</v>
      </c>
    </row>
    <row r="469" spans="2:6">
      <c r="B469" t="s">
        <v>502</v>
      </c>
      <c r="C469" s="6">
        <v>0.23730000000000001</v>
      </c>
      <c r="D469" s="6">
        <v>0.2485</v>
      </c>
      <c r="E469" s="6">
        <v>0.32819999999999999</v>
      </c>
      <c r="F469" s="6">
        <v>0.39789999999999998</v>
      </c>
    </row>
    <row r="470" spans="2:6">
      <c r="B470" t="s">
        <v>397</v>
      </c>
      <c r="C470" s="6">
        <v>9.3739000000000008</v>
      </c>
      <c r="D470" t="s">
        <v>4509</v>
      </c>
      <c r="E470" t="s">
        <v>4510</v>
      </c>
      <c r="F470" t="s">
        <v>4513</v>
      </c>
    </row>
    <row r="471" spans="2:6">
      <c r="B471" t="s">
        <v>359</v>
      </c>
      <c r="C471" s="6">
        <v>0.31509999999999999</v>
      </c>
      <c r="D471" s="6">
        <v>0.5343</v>
      </c>
      <c r="E471" s="6">
        <v>0.3206</v>
      </c>
      <c r="F471" s="6">
        <v>0.13700000000000001</v>
      </c>
    </row>
    <row r="472" spans="2:6">
      <c r="B472" t="s">
        <v>355</v>
      </c>
      <c r="C472" s="6">
        <v>2.1499999999999998E-2</v>
      </c>
      <c r="D472" s="6">
        <v>8.0000000000000002E-3</v>
      </c>
      <c r="E472" s="6">
        <v>9.1000000000000004E-3</v>
      </c>
      <c r="F472" s="6">
        <v>6.6E-3</v>
      </c>
    </row>
    <row r="473" spans="2:6">
      <c r="B473" t="s">
        <v>107</v>
      </c>
      <c r="C473" s="6">
        <v>0.2235</v>
      </c>
      <c r="D473" s="6">
        <v>0.31830000000000003</v>
      </c>
      <c r="E473" s="6">
        <v>0.24249999999999999</v>
      </c>
      <c r="F473" s="6">
        <v>0.26829999999999998</v>
      </c>
    </row>
    <row r="474" spans="2:6">
      <c r="B474" t="s">
        <v>486</v>
      </c>
      <c r="C474" s="6">
        <v>0.25309999999999999</v>
      </c>
      <c r="D474" s="6">
        <v>0.25879999999999997</v>
      </c>
      <c r="E474" s="6">
        <v>0.22</v>
      </c>
      <c r="F474" s="6">
        <v>0.33339999999999997</v>
      </c>
    </row>
    <row r="475" spans="2:6">
      <c r="B475" t="s">
        <v>395</v>
      </c>
      <c r="C475" s="6">
        <v>4.7500000000000001E-2</v>
      </c>
      <c r="D475" s="6">
        <v>4.9799999999999997E-2</v>
      </c>
      <c r="E475" s="6">
        <v>3.1399999999999997E-2</v>
      </c>
      <c r="F475" s="6">
        <v>3.2300000000000002E-2</v>
      </c>
    </row>
    <row r="476" spans="2:6">
      <c r="B476" t="s">
        <v>315</v>
      </c>
      <c r="C476" s="6">
        <v>2.4400000000000002E-2</v>
      </c>
      <c r="D476" s="6">
        <v>2.2700000000000001E-2</v>
      </c>
      <c r="E476" s="6">
        <v>2.1700000000000001E-2</v>
      </c>
      <c r="F476" s="6">
        <v>2.4899999999999999E-2</v>
      </c>
    </row>
    <row r="477" spans="2:6">
      <c r="B477" t="s">
        <v>57</v>
      </c>
      <c r="C477" s="6">
        <v>0.48399999999999999</v>
      </c>
      <c r="D477" s="6">
        <v>0.38069999999999998</v>
      </c>
      <c r="E477" s="6">
        <v>0.40210000000000001</v>
      </c>
      <c r="F477" s="6">
        <v>0.45810000000000001</v>
      </c>
    </row>
    <row r="478" spans="2:6">
      <c r="B478" t="s">
        <v>183</v>
      </c>
      <c r="C478" s="6">
        <v>0.22040000000000001</v>
      </c>
      <c r="D478" s="6">
        <v>0.23139999999999999</v>
      </c>
      <c r="E478" s="6">
        <v>0.2243</v>
      </c>
      <c r="F478" s="6">
        <v>0.2024</v>
      </c>
    </row>
    <row r="479" spans="2:6">
      <c r="B479" t="s">
        <v>175</v>
      </c>
      <c r="C479" s="6">
        <v>2.3099999999999999E-2</v>
      </c>
      <c r="D479" s="6">
        <v>6.0000000000000001E-3</v>
      </c>
      <c r="E479" s="6">
        <v>1.9300000000000001E-2</v>
      </c>
      <c r="F479" s="6">
        <v>3.2000000000000002E-3</v>
      </c>
    </row>
    <row r="480" spans="2:6">
      <c r="B480" t="s">
        <v>274</v>
      </c>
      <c r="C480" s="6">
        <v>9.5699999999999993E-2</v>
      </c>
      <c r="D480" s="6">
        <v>0.1028</v>
      </c>
      <c r="E480" s="6">
        <v>0.12970000000000001</v>
      </c>
      <c r="F480" s="6">
        <v>3.1399999999999997E-2</v>
      </c>
    </row>
    <row r="481" spans="2:6">
      <c r="B481" t="s">
        <v>427</v>
      </c>
      <c r="C481" s="6">
        <v>0.4047</v>
      </c>
      <c r="D481" s="6">
        <v>0.35610000000000003</v>
      </c>
      <c r="E481" s="6">
        <v>0.30349999999999999</v>
      </c>
      <c r="F481" s="6">
        <v>0.20419999999999999</v>
      </c>
    </row>
    <row r="482" spans="2:6">
      <c r="B482" t="s">
        <v>45</v>
      </c>
      <c r="C482" s="6">
        <v>0.1429</v>
      </c>
      <c r="D482" s="6">
        <v>0.1825</v>
      </c>
      <c r="E482" s="6">
        <v>7.3599999999999999E-2</v>
      </c>
      <c r="F482" s="6">
        <v>0.192</v>
      </c>
    </row>
    <row r="483" spans="2:6">
      <c r="B483" t="s">
        <v>104</v>
      </c>
      <c r="C483" s="6">
        <v>1.7100000000000001E-2</v>
      </c>
      <c r="D483" s="6">
        <v>5.6399999999999999E-2</v>
      </c>
      <c r="E483" s="6">
        <v>8.8099999999999998E-2</v>
      </c>
      <c r="F483" s="6">
        <v>0.12520000000000001</v>
      </c>
    </row>
    <row r="484" spans="2:6">
      <c r="B484" t="s">
        <v>374</v>
      </c>
      <c r="C484" s="6">
        <v>0</v>
      </c>
      <c r="D484" s="6">
        <v>0.33129999999999998</v>
      </c>
      <c r="E484" s="6">
        <v>0</v>
      </c>
      <c r="F484" s="6">
        <v>0.12740000000000001</v>
      </c>
    </row>
    <row r="485" spans="2:6">
      <c r="B485" t="s">
        <v>36</v>
      </c>
      <c r="C485" s="6">
        <v>4.9200000000000001E-2</v>
      </c>
      <c r="D485" s="6">
        <v>3.3399999999999999E-2</v>
      </c>
      <c r="E485" s="6">
        <v>1.66E-2</v>
      </c>
      <c r="F485" s="6">
        <v>5.0000000000000001E-4</v>
      </c>
    </row>
    <row r="486" spans="2:6">
      <c r="B486" t="s">
        <v>819</v>
      </c>
      <c r="C486" s="6">
        <v>0.4703</v>
      </c>
      <c r="D486" s="6">
        <v>0.43230000000000002</v>
      </c>
      <c r="E486" s="6">
        <v>0.43080000000000002</v>
      </c>
      <c r="F486" s="6">
        <v>0.38819999999999999</v>
      </c>
    </row>
    <row r="487" spans="2:6">
      <c r="B487" t="s">
        <v>391</v>
      </c>
      <c r="C487" s="6">
        <v>0</v>
      </c>
      <c r="D487" s="6">
        <v>0</v>
      </c>
      <c r="E487" s="6">
        <v>0.1716</v>
      </c>
      <c r="F487" s="6">
        <v>0.17150000000000001</v>
      </c>
    </row>
    <row r="488" spans="2:6">
      <c r="B488" t="s">
        <v>323</v>
      </c>
      <c r="C488" s="6">
        <v>0.24210000000000001</v>
      </c>
      <c r="D488" s="6">
        <v>0.2291</v>
      </c>
      <c r="E488" s="6">
        <v>0.28139999999999998</v>
      </c>
      <c r="F488" s="6">
        <v>0.36649999999999999</v>
      </c>
    </row>
    <row r="489" spans="2:6">
      <c r="B489" t="s">
        <v>237</v>
      </c>
      <c r="C489" s="6">
        <v>0</v>
      </c>
      <c r="D489" s="6">
        <v>0</v>
      </c>
      <c r="E489" s="6">
        <v>0</v>
      </c>
      <c r="F489" s="6">
        <v>1.7899999999999999E-2</v>
      </c>
    </row>
    <row r="490" spans="2:6">
      <c r="B490" t="s">
        <v>18</v>
      </c>
      <c r="C490" s="6">
        <v>0.106</v>
      </c>
      <c r="D490" s="6">
        <v>0.1055</v>
      </c>
      <c r="E490" s="6">
        <v>9.7100000000000006E-2</v>
      </c>
      <c r="F490" s="6">
        <v>0.3589</v>
      </c>
    </row>
    <row r="491" spans="2:6">
      <c r="B491" t="s">
        <v>59</v>
      </c>
      <c r="C491" s="6">
        <v>0.35749999999999998</v>
      </c>
      <c r="D491" s="6">
        <v>0.4375</v>
      </c>
      <c r="E491" s="6">
        <v>0.52039999999999997</v>
      </c>
      <c r="F491" s="6">
        <v>0.56510000000000005</v>
      </c>
    </row>
    <row r="492" spans="2:6">
      <c r="B492" t="s">
        <v>91</v>
      </c>
      <c r="C492" s="6">
        <v>0.44240000000000002</v>
      </c>
      <c r="D492" s="6">
        <v>0.39019999999999999</v>
      </c>
      <c r="E492" s="6">
        <v>0.10349999999999999</v>
      </c>
      <c r="F492" s="6">
        <v>0.24560000000000001</v>
      </c>
    </row>
    <row r="493" spans="2:6">
      <c r="B493" t="s">
        <v>194</v>
      </c>
      <c r="C493" s="6">
        <v>0.1105</v>
      </c>
      <c r="D493" s="6">
        <v>0.12709999999999999</v>
      </c>
      <c r="E493" s="6">
        <v>0</v>
      </c>
      <c r="F493" s="6">
        <v>0</v>
      </c>
    </row>
    <row r="494" spans="2:6">
      <c r="B494" t="s">
        <v>490</v>
      </c>
      <c r="C494" s="6">
        <v>0.2082</v>
      </c>
      <c r="D494" s="6">
        <v>0.1331</v>
      </c>
      <c r="E494" s="6">
        <v>0</v>
      </c>
      <c r="F494" s="6">
        <v>2.8500000000000001E-2</v>
      </c>
    </row>
    <row r="495" spans="2:6">
      <c r="B495" t="s">
        <v>89</v>
      </c>
      <c r="C495" s="6">
        <v>0.14360000000000001</v>
      </c>
      <c r="D495" s="6">
        <v>0.20449999999999999</v>
      </c>
      <c r="E495" s="6">
        <v>0.2117</v>
      </c>
      <c r="F495" s="6">
        <v>0.28029999999999999</v>
      </c>
    </row>
    <row r="496" spans="2:6">
      <c r="B496" t="s">
        <v>41</v>
      </c>
      <c r="C496" s="6">
        <v>0.21510000000000001</v>
      </c>
      <c r="D496" s="6">
        <v>0.1973</v>
      </c>
      <c r="E496" s="6">
        <v>0.22939999999999999</v>
      </c>
      <c r="F496" s="6">
        <v>0.24279999999999999</v>
      </c>
    </row>
    <row r="497" spans="2:6">
      <c r="B497" t="s">
        <v>169</v>
      </c>
      <c r="C497" s="6">
        <v>0.2172</v>
      </c>
      <c r="D497" s="6">
        <v>0.1845</v>
      </c>
      <c r="E497" s="6">
        <v>8.2000000000000007E-3</v>
      </c>
      <c r="F497" s="6">
        <v>0</v>
      </c>
    </row>
    <row r="498" spans="2:6">
      <c r="B498" t="s">
        <v>217</v>
      </c>
      <c r="C498" s="6">
        <v>5.0000000000000001E-4</v>
      </c>
      <c r="D498" s="6">
        <v>2.9999999999999997E-4</v>
      </c>
      <c r="E498" s="6">
        <v>0</v>
      </c>
      <c r="F498" s="6">
        <v>0</v>
      </c>
    </row>
    <row r="499" spans="2:6">
      <c r="B499" t="s">
        <v>131</v>
      </c>
      <c r="C499" s="6">
        <v>0.25180000000000002</v>
      </c>
      <c r="D499" s="6">
        <v>0.24149999999999999</v>
      </c>
      <c r="E499" s="6">
        <v>0.22950000000000001</v>
      </c>
      <c r="F499" s="6">
        <v>0.22020000000000001</v>
      </c>
    </row>
    <row r="500" spans="2:6">
      <c r="B500" t="s">
        <v>245</v>
      </c>
      <c r="C500" s="6">
        <v>0.15759999999999999</v>
      </c>
      <c r="D500" s="6">
        <v>6.3399999999999998E-2</v>
      </c>
      <c r="E500" s="6">
        <v>1.54E-2</v>
      </c>
      <c r="F500" s="6">
        <v>3.7999999999999999E-2</v>
      </c>
    </row>
    <row r="501" spans="2:6">
      <c r="B501" t="s">
        <v>814</v>
      </c>
      <c r="C501" s="6">
        <v>0.33460000000000001</v>
      </c>
      <c r="D501" s="6">
        <v>0.34439999999999998</v>
      </c>
      <c r="E501" s="6">
        <v>0.40039999999999998</v>
      </c>
      <c r="F501" s="6">
        <v>0.42930000000000001</v>
      </c>
    </row>
    <row r="502" spans="2:6">
      <c r="B502" t="s">
        <v>321</v>
      </c>
      <c r="C502" s="6">
        <v>0.36059999999999998</v>
      </c>
      <c r="D502" s="6">
        <v>0.40660000000000002</v>
      </c>
      <c r="E502" s="6">
        <v>0.45610000000000001</v>
      </c>
      <c r="F502" s="6">
        <v>0.47589999999999999</v>
      </c>
    </row>
    <row r="503" spans="2:6">
      <c r="B503" t="s">
        <v>828</v>
      </c>
      <c r="C503" s="6">
        <v>0</v>
      </c>
      <c r="D503" s="6">
        <v>0</v>
      </c>
      <c r="E503" s="6">
        <v>0</v>
      </c>
      <c r="F503" s="6">
        <v>0</v>
      </c>
    </row>
    <row r="504" spans="2:6">
      <c r="B504" t="s">
        <v>238</v>
      </c>
      <c r="C504" s="6">
        <v>0</v>
      </c>
      <c r="D504" s="6">
        <v>0.61270000000000002</v>
      </c>
      <c r="E504" s="6">
        <v>0</v>
      </c>
      <c r="F504" s="6">
        <v>0</v>
      </c>
    </row>
  </sheetData>
  <sortState ref="B7:F504">
    <sortCondition ref="B7"/>
  </sortState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1"/>
  <sheetViews>
    <sheetView tabSelected="1" workbookViewId="0">
      <selection activeCell="M10" sqref="M10"/>
    </sheetView>
  </sheetViews>
  <sheetFormatPr defaultRowHeight="15"/>
  <sheetData>
    <row r="1" spans="1:7">
      <c r="B1" s="1" t="s">
        <v>4517</v>
      </c>
      <c r="C1" s="1" t="s">
        <v>4518</v>
      </c>
      <c r="D1" s="1" t="s">
        <v>4519</v>
      </c>
      <c r="E1" s="1" t="s">
        <v>4520</v>
      </c>
      <c r="F1" s="1" t="s">
        <v>4521</v>
      </c>
      <c r="G1" s="1" t="s">
        <v>4522</v>
      </c>
    </row>
    <row r="2" spans="1:7">
      <c r="A2" s="12" t="s">
        <v>4516</v>
      </c>
      <c r="B2" s="3">
        <f>Volume!I6</f>
        <v>6.0892465252377469E-3</v>
      </c>
      <c r="C2" s="9">
        <f>ROA!D8</f>
        <v>0.2031</v>
      </c>
      <c r="D2" s="9">
        <f>Leverage!C8</f>
        <v>7.1000000000000004E-3</v>
      </c>
      <c r="E2" s="9">
        <f>'Sales Growth'!C7</f>
        <v>0.15939999999999999</v>
      </c>
      <c r="F2">
        <f>LN(3730000000000)</f>
        <v>28.947429349584272</v>
      </c>
      <c r="G2" s="1">
        <f>DPR!H5</f>
        <v>0.44504399999999994</v>
      </c>
    </row>
    <row r="3" spans="1:7">
      <c r="A3" s="12"/>
      <c r="B3" s="3">
        <f>Volume!J6</f>
        <v>2.8090709583028528E-4</v>
      </c>
      <c r="C3" s="9">
        <f>ROA!E8</f>
        <v>0.19059999999999999</v>
      </c>
      <c r="D3" s="9">
        <f>Leverage!D8</f>
        <v>1.4E-3</v>
      </c>
      <c r="E3" s="9">
        <f>'Sales Growth'!D7</f>
        <v>0.13250000000000001</v>
      </c>
      <c r="F3">
        <f>LN(4430000000000)</f>
        <v>29.119420699985593</v>
      </c>
      <c r="G3" s="1">
        <f>DPR!I5</f>
        <v>0.34591500000000003</v>
      </c>
    </row>
    <row r="4" spans="1:7">
      <c r="A4" s="12"/>
      <c r="B4" s="3">
        <f>Volume!K6</f>
        <v>2.1155815654718361E-3</v>
      </c>
      <c r="C4" s="9">
        <f>ROA!F8</f>
        <v>0.19789999999999999</v>
      </c>
      <c r="D4" s="9">
        <f>Leverage!E8</f>
        <v>3.82E-3</v>
      </c>
      <c r="E4" s="9">
        <f>'Sales Growth'!E7</f>
        <v>0.1346</v>
      </c>
      <c r="F4">
        <f>LN(5320000000000)</f>
        <v>29.302494419282102</v>
      </c>
      <c r="G4" s="1">
        <f>DPR!J5</f>
        <v>0.59975000000000001</v>
      </c>
    </row>
    <row r="5" spans="1:7">
      <c r="A5" s="12"/>
      <c r="B5" s="3">
        <f>Volume!L6</f>
        <v>1.9195318215069494E-3</v>
      </c>
      <c r="C5" s="9">
        <f>ROA!G8</f>
        <v>0.17219999999999999</v>
      </c>
      <c r="D5" s="9">
        <f>Leverage!F8</f>
        <v>2.1600000000000001E-2</v>
      </c>
      <c r="E5" s="9">
        <f>'Sales Growth'!F7</f>
        <v>0.12640000000000001</v>
      </c>
      <c r="F5">
        <f>LN(6650000000000)</f>
        <v>29.525637970596311</v>
      </c>
      <c r="G5" s="1">
        <f>DPR!K5</f>
        <v>0.58831</v>
      </c>
    </row>
    <row r="6" spans="1:7">
      <c r="A6" s="12" t="s">
        <v>4523</v>
      </c>
      <c r="B6" s="3">
        <f>Volume!I7</f>
        <v>8.2176568573014987E-4</v>
      </c>
      <c r="C6" s="9">
        <f>ROA!D9</f>
        <v>3.0800000000000001E-2</v>
      </c>
      <c r="D6" s="9">
        <f>Leverage!C9</f>
        <v>0.10249999999999999</v>
      </c>
      <c r="E6" s="9">
        <f>'Sales Growth'!C8</f>
        <v>0.3468</v>
      </c>
      <c r="F6" s="1">
        <f>LN(2500000000000)</f>
        <v>28.547311847802703</v>
      </c>
      <c r="G6" s="1">
        <f>DPR!H6</f>
        <v>0.39982299999999998</v>
      </c>
    </row>
    <row r="7" spans="1:7">
      <c r="A7" s="12"/>
      <c r="B7" s="3">
        <f>Volume!J7</f>
        <v>9.4947251526929482E-4</v>
      </c>
      <c r="C7" s="9">
        <f>ROA!E9</f>
        <v>3.95E-2</v>
      </c>
      <c r="D7" s="9">
        <f>Leverage!D9</f>
        <v>0.34549999999999997</v>
      </c>
      <c r="E7" s="9">
        <f>'Sales Growth'!D8</f>
        <v>0.372</v>
      </c>
      <c r="F7" s="1">
        <f>LN(5310000000000)</f>
        <v>29.300612951182394</v>
      </c>
      <c r="G7" s="1">
        <f>DPR!I6</f>
        <v>0.50058599999999998</v>
      </c>
    </row>
    <row r="8" spans="1:7">
      <c r="A8" s="12"/>
      <c r="B8" s="3">
        <f>Volume!K7</f>
        <v>5.7867851193781231E-5</v>
      </c>
      <c r="C8" s="9">
        <f>ROA!F9</f>
        <v>2.5999999999999999E-3</v>
      </c>
      <c r="D8" s="9">
        <f>Leverage!E9</f>
        <v>0.34370000000000001</v>
      </c>
      <c r="E8" s="9">
        <f>'Sales Growth'!E8</f>
        <v>0.31519999999999998</v>
      </c>
      <c r="F8" s="1">
        <f>LN(8940000000000)</f>
        <v>29.82155670511397</v>
      </c>
      <c r="G8" s="1">
        <f>DPR!J6</f>
        <v>0.79954599999999998</v>
      </c>
    </row>
    <row r="9" spans="1:7">
      <c r="A9" s="12"/>
      <c r="B9" s="3">
        <f>Volume!L7</f>
        <v>1.5657967795669073E-3</v>
      </c>
      <c r="C9" s="9">
        <f>ROA!G9</f>
        <v>-0.1172</v>
      </c>
      <c r="D9" s="9">
        <f>Leverage!F9</f>
        <v>0.38600000000000001</v>
      </c>
      <c r="E9" s="9">
        <f>'Sales Growth'!F8</f>
        <v>0.26079999999999998</v>
      </c>
      <c r="F9" s="1">
        <f>LN(10450000000000)</f>
        <v>29.977623094339368</v>
      </c>
      <c r="G9" s="1">
        <f>DPR!K6</f>
        <v>0.18160899999999999</v>
      </c>
    </row>
    <row r="10" spans="1:7">
      <c r="A10" s="12" t="s">
        <v>4524</v>
      </c>
      <c r="B10" s="5">
        <f>Volume!I8</f>
        <v>2.5358641859299629E-3</v>
      </c>
      <c r="C10" s="9">
        <f>ROA!D10</f>
        <v>5.3600000000000002E-2</v>
      </c>
      <c r="D10" s="9">
        <f>Leverage!C10</f>
        <v>0.21990000000000001</v>
      </c>
      <c r="E10" s="9">
        <f>'Sales Growth'!C9</f>
        <v>-8.48E-2</v>
      </c>
      <c r="F10" s="1">
        <f>LN(6520000000*14000)</f>
        <v>32.14495282148237</v>
      </c>
      <c r="G10" s="1">
        <f>DPR!H7</f>
        <v>0.30206</v>
      </c>
    </row>
    <row r="11" spans="1:7">
      <c r="A11" s="12"/>
      <c r="B11" s="5">
        <f>Volume!J8</f>
        <v>8.3336465576645986E-3</v>
      </c>
      <c r="C11" s="9">
        <f>ROA!E10</f>
        <v>7.2499999999999995E-2</v>
      </c>
      <c r="D11" s="9">
        <f>Leverage!D10</f>
        <v>0.2021</v>
      </c>
      <c r="E11" s="9">
        <f>'Sales Growth'!D9</f>
        <v>-1.34E-2</v>
      </c>
      <c r="F11" s="1">
        <f>LN(6810000000*14000)</f>
        <v>32.188470565705231</v>
      </c>
      <c r="G11" s="1">
        <f>DPR!I7</f>
        <v>0.51821200000000001</v>
      </c>
    </row>
    <row r="12" spans="1:7">
      <c r="A12" s="12"/>
      <c r="B12" s="5">
        <f>Volume!K8</f>
        <v>2.2558416337781118E-3</v>
      </c>
      <c r="C12" s="9">
        <f>ROA!F10</f>
        <v>6.0199999999999997E-2</v>
      </c>
      <c r="D12" s="9">
        <f>Leverage!E10</f>
        <v>0.20080000000000001</v>
      </c>
      <c r="E12" s="9">
        <f>'Sales Growth'!E9</f>
        <v>3.2300000000000002E-2</v>
      </c>
      <c r="F12" s="1">
        <f>LN(7060000000*14000)</f>
        <v>32.224523497048956</v>
      </c>
      <c r="G12" s="1">
        <f>DPR!J7</f>
        <v>0.47934499999999997</v>
      </c>
    </row>
    <row r="13" spans="1:7">
      <c r="A13" s="12"/>
      <c r="B13" s="5">
        <f>Volume!L8</f>
        <v>6.5996366597757313E-3</v>
      </c>
      <c r="C13" s="9">
        <f>ROA!G10</f>
        <v>5.6599999999999998E-2</v>
      </c>
      <c r="D13" s="9">
        <f>Leverage!F10</f>
        <v>0.26979999999999998</v>
      </c>
      <c r="E13" s="9">
        <f>'Sales Growth'!F9</f>
        <v>2.0899999999999998E-2</v>
      </c>
      <c r="F13" s="1">
        <f>LN(7220000000*14000)</f>
        <v>32.24693339844854</v>
      </c>
      <c r="G13" s="1">
        <f>DPR!K7</f>
        <v>0.61884300000000003</v>
      </c>
    </row>
    <row r="14" spans="1:7">
      <c r="A14" s="12" t="s">
        <v>4525</v>
      </c>
      <c r="B14" s="5">
        <f>Volume!I9</f>
        <v>9.4782110091743126E-3</v>
      </c>
      <c r="C14" s="9">
        <f>ROA!D11</f>
        <v>1.7000000000000001E-2</v>
      </c>
      <c r="D14" s="9">
        <f>Leverage!C11</f>
        <v>0.20069999999999999</v>
      </c>
      <c r="E14" s="9">
        <f>'Sales Growth'!C10</f>
        <v>0.11409999999999999</v>
      </c>
      <c r="F14" s="1">
        <f>LN(20040000000000)</f>
        <v>30.628751392145212</v>
      </c>
      <c r="G14" s="1">
        <f>DPR!H8</f>
        <v>0.299954</v>
      </c>
    </row>
    <row r="15" spans="1:7">
      <c r="A15" s="12"/>
      <c r="B15" s="5">
        <f>Volume!J9</f>
        <v>1.2844036697247706E-3</v>
      </c>
      <c r="C15" s="9">
        <f>ROA!E11</f>
        <v>2.1299999999999999E-2</v>
      </c>
      <c r="D15" s="9">
        <f>Leverage!D11</f>
        <v>0.29389999999999999</v>
      </c>
      <c r="E15" s="9">
        <f>'Sales Growth'!D10</f>
        <v>0.16020000000000001</v>
      </c>
      <c r="F15" s="1">
        <f>LN(28330000000000)</f>
        <v>30.974942429770973</v>
      </c>
      <c r="G15" s="1">
        <f>DPR!I8</f>
        <v>0.30001899999999998</v>
      </c>
    </row>
    <row r="16" spans="1:7">
      <c r="A16" s="12"/>
      <c r="B16" s="5">
        <f>Volume!K9</f>
        <v>5.0630733944954124E-3</v>
      </c>
      <c r="C16" s="9">
        <f>ROA!F12</f>
        <v>3.8899999999999997E-2</v>
      </c>
      <c r="D16" s="9">
        <f>Leverage!E11</f>
        <v>0.28420000000000001</v>
      </c>
      <c r="E16" s="9">
        <f>'Sales Growth'!E10</f>
        <v>0.10979999999999999</v>
      </c>
      <c r="F16" s="1">
        <f>LN(30090000000000)</f>
        <v>31.035214006570502</v>
      </c>
      <c r="G16" s="1">
        <f>DPR!J8</f>
        <v>0.30003000000000002</v>
      </c>
    </row>
    <row r="17" spans="1:7">
      <c r="A17" s="12"/>
      <c r="B17" s="5">
        <f>Volume!L9</f>
        <v>4.5814220183486238E-3</v>
      </c>
      <c r="C17" s="9">
        <f>ROA!G11</f>
        <v>1.9900000000000001E-2</v>
      </c>
      <c r="D17" s="9">
        <f>Leverage!F11</f>
        <v>0.28810000000000002</v>
      </c>
      <c r="E17" s="9">
        <f>'Sales Growth'!F10</f>
        <v>0.1288</v>
      </c>
      <c r="F17" s="1">
        <f>LN(36520000000000)</f>
        <v>31.228881171655317</v>
      </c>
      <c r="G17" s="1">
        <f>DPR!K8</f>
        <v>0.24998000000000001</v>
      </c>
    </row>
    <row r="18" spans="1:7">
      <c r="A18" s="12" t="s">
        <v>4526</v>
      </c>
      <c r="B18" s="5">
        <f>Volume!I10</f>
        <v>2.7596223674655048E-3</v>
      </c>
      <c r="C18" s="9">
        <f>ROA!D12</f>
        <v>2.1000000000000001E-2</v>
      </c>
      <c r="D18" s="9">
        <f>Leverage!C12</f>
        <v>0.60350000000000004</v>
      </c>
      <c r="E18" s="9">
        <f>'Sales Growth'!C11</f>
        <v>0.2301</v>
      </c>
      <c r="F18" s="1">
        <f>LN(3030000000000)</f>
        <v>28.739583735449827</v>
      </c>
      <c r="G18" s="1">
        <f>DPR!H9</f>
        <v>0.397341</v>
      </c>
    </row>
    <row r="19" spans="1:7">
      <c r="A19" s="12"/>
      <c r="B19" s="5">
        <f>Volume!J10</f>
        <v>8.932461873638344E-4</v>
      </c>
      <c r="C19" s="9">
        <f>ROA!E12</f>
        <v>3.2599999999999997E-2</v>
      </c>
      <c r="D19" s="9">
        <f>Leverage!D12</f>
        <v>0.60529999999999995</v>
      </c>
      <c r="E19" s="9">
        <f>'Sales Growth'!D11</f>
        <v>0.16550000000000001</v>
      </c>
      <c r="F19" s="1">
        <f>LN(33100000000000)</f>
        <v>31.130554398311567</v>
      </c>
      <c r="G19" s="1">
        <f>DPR!I9</f>
        <v>0.42563100000000004</v>
      </c>
    </row>
    <row r="20" spans="1:7">
      <c r="A20" s="12"/>
      <c r="B20" s="5">
        <f>Volume!K10</f>
        <v>2.9774872912127813E-3</v>
      </c>
      <c r="C20" s="9">
        <f>ROA!F12</f>
        <v>3.8899999999999997E-2</v>
      </c>
      <c r="D20" s="9">
        <f>Leverage!E12</f>
        <v>0.5786</v>
      </c>
      <c r="E20" s="9">
        <f>'Sales Growth'!E11</f>
        <v>0.12970000000000001</v>
      </c>
      <c r="F20" s="1">
        <f>LN(4060000000000)</f>
        <v>29.032204089542191</v>
      </c>
      <c r="G20" s="1">
        <f>DPR!J9</f>
        <v>0.54019399999999995</v>
      </c>
    </row>
    <row r="21" spans="1:7">
      <c r="A21" s="12"/>
      <c r="B21" s="5">
        <f>Volume!L10</f>
        <v>4.5243282498184456E-3</v>
      </c>
      <c r="C21" s="9">
        <f>ROA!G12</f>
        <v>2.4799999999999999E-2</v>
      </c>
      <c r="D21" s="9">
        <f>Leverage!F12</f>
        <v>0.60009999999999997</v>
      </c>
      <c r="E21" s="9">
        <f>'Sales Growth'!F11</f>
        <v>0.156</v>
      </c>
      <c r="F21" s="1">
        <f>LN(4850000000000)</f>
        <v>29.20999982087794</v>
      </c>
      <c r="G21" s="1">
        <f>DPR!K9</f>
        <v>0.51149500000000003</v>
      </c>
    </row>
    <row r="22" spans="1:7">
      <c r="A22" s="12" t="s">
        <v>4527</v>
      </c>
      <c r="B22" s="5">
        <f>Volume!I11</f>
        <v>6.9498069498069494E-3</v>
      </c>
      <c r="C22" s="9">
        <f>ROA!D18</f>
        <v>6.5100000000000005E-2</v>
      </c>
      <c r="D22" s="9">
        <f>Leverage!C18</f>
        <v>0.25509999999999999</v>
      </c>
      <c r="E22" s="9">
        <f>Leverage!C18</f>
        <v>0.25509999999999999</v>
      </c>
      <c r="F22" s="1">
        <f>LN(15830000000000)</f>
        <v>30.392927989821469</v>
      </c>
      <c r="G22" s="1">
        <f>DPR!H10</f>
        <v>0.47694300000000001</v>
      </c>
    </row>
    <row r="23" spans="1:7">
      <c r="A23" s="12"/>
      <c r="B23" s="5">
        <f>Volume!J11</f>
        <v>5.958815958815959E-3</v>
      </c>
      <c r="C23" s="9">
        <f>ROA!E18</f>
        <v>7.3599999999999999E-2</v>
      </c>
      <c r="D23" s="9">
        <f>Leverage!D18</f>
        <v>0.18859999999999999</v>
      </c>
      <c r="E23" s="9">
        <f>Leverage!D18</f>
        <v>0.18859999999999999</v>
      </c>
      <c r="F23" s="1">
        <f>LN(16820000000000)</f>
        <v>30.45358977047335</v>
      </c>
      <c r="G23" s="1">
        <f>DPR!I10</f>
        <v>0.48144899999999996</v>
      </c>
    </row>
    <row r="24" spans="1:7">
      <c r="A24" s="12"/>
      <c r="B24" s="5">
        <f>Volume!K11</f>
        <v>5.0064350064350062E-3</v>
      </c>
      <c r="C24" s="9">
        <f>ROA!F18</f>
        <v>3.8699999999999998E-2</v>
      </c>
      <c r="D24" s="9">
        <f>Leverage!E18</f>
        <v>0.21210000000000001</v>
      </c>
      <c r="E24" s="9">
        <f>Leverage!E18</f>
        <v>0.21210000000000001</v>
      </c>
      <c r="F24" s="1">
        <f>LN(19940000000000)</f>
        <v>30.623748880462241</v>
      </c>
      <c r="G24" s="1">
        <f>DPR!J10</f>
        <v>0.38930500000000001</v>
      </c>
    </row>
    <row r="25" spans="1:7">
      <c r="A25" s="12"/>
      <c r="B25" s="5">
        <f>Volume!L11</f>
        <v>1.608108108108108E-2</v>
      </c>
      <c r="C25" s="9">
        <f>ROA!G18</f>
        <v>3.4500000000000003E-2</v>
      </c>
      <c r="D25" s="9">
        <f>Leverage!F18</f>
        <v>0.21529999999999999</v>
      </c>
      <c r="E25" s="9">
        <f>Leverage!F18</f>
        <v>0.21529999999999999</v>
      </c>
      <c r="F25" s="1">
        <f>LN(21410000000000)</f>
        <v>30.69487921853014</v>
      </c>
      <c r="G25" s="1">
        <f>DPR!K10</f>
        <v>0.53974699999999998</v>
      </c>
    </row>
    <row r="26" spans="1:7">
      <c r="A26" s="12" t="s">
        <v>4528</v>
      </c>
      <c r="B26" s="5">
        <f>Volume!I17</f>
        <v>2.2544417252555321E-3</v>
      </c>
      <c r="C26" s="9">
        <f>ROA!D42</f>
        <v>8.7800000000000003E-2</v>
      </c>
      <c r="D26" s="9">
        <f>Leverage!C43</f>
        <v>0.16930000000000001</v>
      </c>
      <c r="E26" s="9">
        <f>'Sales Growth'!C32</f>
        <v>6.7599999999999993E-2</v>
      </c>
      <c r="F26" s="1">
        <f>LN(24230000000000)</f>
        <v>30.818612650756982</v>
      </c>
      <c r="G26" s="1">
        <f>DPR!H14</f>
        <v>0.44977099999999998</v>
      </c>
    </row>
    <row r="27" spans="1:7">
      <c r="A27" s="12"/>
      <c r="B27" s="5">
        <f>Volume!J17</f>
        <v>1.702276134237189E-3</v>
      </c>
      <c r="C27" s="9">
        <f>ROA!E42</f>
        <v>7.9799999999999996E-2</v>
      </c>
      <c r="D27" s="9">
        <f>Leverage!D43</f>
        <v>0.158</v>
      </c>
      <c r="E27" s="9">
        <f>'Sales Growth'!D32</f>
        <v>9.8000000000000004E-2</v>
      </c>
      <c r="F27" s="1">
        <f>LN(25120000000000)</f>
        <v>30.854685457528547</v>
      </c>
      <c r="G27" s="1">
        <f>DPR!I14</f>
        <v>0.45965</v>
      </c>
    </row>
    <row r="28" spans="1:7">
      <c r="A28" s="12"/>
      <c r="B28" s="5">
        <f>Volume!K17</f>
        <v>1.0132839609146248E-3</v>
      </c>
      <c r="C28" s="9">
        <f>ROA!F42</f>
        <v>5.5399999999999998E-2</v>
      </c>
      <c r="D28" s="9">
        <f>Leverage!E43</f>
        <v>0.1762</v>
      </c>
      <c r="E28" s="9">
        <f>'Sales Growth'!E32</f>
        <v>9.9400000000000002E-2</v>
      </c>
      <c r="F28" s="1">
        <f>LN(26860000000000)</f>
        <v>30.921659307023639</v>
      </c>
      <c r="G28" s="1">
        <f>DPR!J14</f>
        <v>0.44955900000000004</v>
      </c>
    </row>
    <row r="29" spans="1:7">
      <c r="A29" s="12"/>
      <c r="B29" s="5">
        <f>Volume!L17</f>
        <v>4.5523610561030601E-3</v>
      </c>
      <c r="C29" s="9">
        <f>ROA!G42</f>
        <v>7.7999999999999996E-3</v>
      </c>
      <c r="D29" s="9">
        <f>Leverage!F43</f>
        <v>0.21079999999999999</v>
      </c>
      <c r="E29" s="9">
        <f>'Sales Growth'!F32</f>
        <v>2.5000000000000001E-2</v>
      </c>
      <c r="F29" s="1">
        <f>LN(26970000000000)</f>
        <v>30.925746253080188</v>
      </c>
      <c r="G29" s="1">
        <f>DPR!K14</f>
        <v>0.446718</v>
      </c>
    </row>
    <row r="30" spans="1:7">
      <c r="A30" s="12" t="s">
        <v>4529</v>
      </c>
      <c r="B30" s="5">
        <f>Volume!I18</f>
        <v>1.4671731931503403E-3</v>
      </c>
      <c r="C30" s="9">
        <f>ROA!D44</f>
        <v>5.9799999999999999E-2</v>
      </c>
      <c r="D30" s="9">
        <f>Leverage!C45</f>
        <v>0.27079999999999999</v>
      </c>
      <c r="E30" s="9">
        <f>'Sales Growth'!C34</f>
        <v>2.4899999999999999E-2</v>
      </c>
      <c r="F30" s="1">
        <f>LN(261850000000000)</f>
        <v>33.198792936654044</v>
      </c>
      <c r="G30" s="1">
        <f>DPR!H15</f>
        <v>0.44874899999999995</v>
      </c>
    </row>
    <row r="31" spans="1:7">
      <c r="A31" s="12"/>
      <c r="B31" s="5">
        <f>Volume!J18</f>
        <v>9.9825216246746075E-4</v>
      </c>
      <c r="C31" s="9">
        <f>ROA!E44</f>
        <v>6.7599999999999993E-2</v>
      </c>
      <c r="D31" s="9">
        <f>Leverage!D45</f>
        <v>0.25340000000000001</v>
      </c>
      <c r="E31" s="9">
        <f>'Sales Growth'!D34</f>
        <v>2.1100000000000001E-2</v>
      </c>
      <c r="F31" s="1">
        <f>LN(295830000000000)</f>
        <v>33.320806080940898</v>
      </c>
      <c r="G31" s="1">
        <f>DPR!I15</f>
        <v>0.39794099999999999</v>
      </c>
    </row>
    <row r="32" spans="1:7">
      <c r="A32" s="12"/>
      <c r="B32" s="5">
        <f>Volume!K18</f>
        <v>1.1037222570138738E-3</v>
      </c>
      <c r="C32" s="9">
        <f>ROA!F44</f>
        <v>6.7699999999999996E-2</v>
      </c>
      <c r="D32" s="9">
        <f>Leverage!E45</f>
        <v>0.2492</v>
      </c>
      <c r="E32" s="9">
        <f>'Sales Growth'!E34</f>
        <v>4.7100000000000003E-2</v>
      </c>
      <c r="F32" s="1">
        <f>LN(344710000000000)</f>
        <v>33.473724599764537</v>
      </c>
      <c r="G32" s="1">
        <f>DPR!J15</f>
        <v>0.39997899999999997</v>
      </c>
    </row>
    <row r="33" spans="1:7">
      <c r="A33" s="12"/>
      <c r="B33" s="5">
        <f>Volume!L18</f>
        <v>3.4874454267154391E-3</v>
      </c>
      <c r="C33" s="9">
        <f>ROA!G44</f>
        <v>6.2300000000000001E-2</v>
      </c>
      <c r="D33" s="9">
        <f>Leverage!F45</f>
        <v>0.26229999999999998</v>
      </c>
      <c r="E33" s="9">
        <f>'Sales Growth'!F34</f>
        <v>3.73E-2</v>
      </c>
      <c r="F33" s="1">
        <f>LN(351960000000000)</f>
        <v>33.494538648705905</v>
      </c>
      <c r="G33" s="1">
        <f>DPR!K15</f>
        <v>0.39910999999999996</v>
      </c>
    </row>
    <row r="34" spans="1:7">
      <c r="A34" s="12" t="s">
        <v>4530</v>
      </c>
      <c r="B34" s="5">
        <f>Volume!I19</f>
        <v>1.3517345409390147E-4</v>
      </c>
      <c r="C34" s="9">
        <f>ROA!D45</f>
        <v>2.8899999999999999E-2</v>
      </c>
      <c r="D34" s="9">
        <f>Leverage!C46</f>
        <v>6.88E-2</v>
      </c>
      <c r="E34" s="9">
        <f>'Sales Growth'!C35</f>
        <v>0.1222</v>
      </c>
      <c r="F34" s="1">
        <f>LN(14610000000000)</f>
        <v>30.312727341691158</v>
      </c>
      <c r="G34" s="1">
        <f>DPR!H16</f>
        <v>0.40867800000000004</v>
      </c>
    </row>
    <row r="35" spans="1:7">
      <c r="A35" s="12"/>
      <c r="B35" s="5">
        <f>Volume!J19</f>
        <v>5.9339382764168561E-3</v>
      </c>
      <c r="C35" s="9">
        <f>ROA!E45</f>
        <v>3.7499999999999999E-2</v>
      </c>
      <c r="D35" s="9">
        <f>Leverage!D46</f>
        <v>4.9200000000000001E-2</v>
      </c>
      <c r="E35" s="9">
        <f>'Sales Growth'!D35</f>
        <v>0.109</v>
      </c>
      <c r="F35" s="1">
        <f>LN(14760000000000)</f>
        <v>30.322941935100875</v>
      </c>
      <c r="G35" s="1">
        <f>DPR!I16</f>
        <v>0.36719000000000002</v>
      </c>
    </row>
    <row r="36" spans="1:7">
      <c r="A36" s="12"/>
      <c r="B36" s="5">
        <f>Volume!K19</f>
        <v>3.1007939699667804E-4</v>
      </c>
      <c r="C36" s="9">
        <f>ROA!F45</f>
        <v>3.9899999999999998E-2</v>
      </c>
      <c r="D36" s="9">
        <f>Leverage!E46</f>
        <v>5.2499999999999998E-2</v>
      </c>
      <c r="E36" s="9">
        <f>'Sales Growth'!E35</f>
        <v>7.7100000000000002E-2</v>
      </c>
      <c r="F36" s="1">
        <f>LN(15890000000000)</f>
        <v>30.396711096477173</v>
      </c>
      <c r="G36" s="1">
        <f>DPR!J16</f>
        <v>0.42485699999999998</v>
      </c>
    </row>
    <row r="37" spans="1:7">
      <c r="A37" s="12"/>
      <c r="B37" s="5">
        <f>Volume!L19</f>
        <v>8.4444506241316795E-3</v>
      </c>
      <c r="C37" s="9">
        <f>ROA!G45</f>
        <v>4.6399999999999997E-2</v>
      </c>
      <c r="D37" s="9">
        <f>Leverage!F46</f>
        <v>4.7300000000000002E-2</v>
      </c>
      <c r="E37" s="9">
        <f>'Sales Growth'!F35</f>
        <v>4.9200000000000001E-2</v>
      </c>
      <c r="F37" s="1">
        <f>LN(16020000000000)</f>
        <v>30.404859057568761</v>
      </c>
      <c r="G37" s="1">
        <f>DPR!K16</f>
        <v>0.36544099999999996</v>
      </c>
    </row>
    <row r="38" spans="1:7">
      <c r="A38" s="12" t="s">
        <v>4531</v>
      </c>
      <c r="B38" s="5">
        <f>Volume!I20</f>
        <v>1.7045219314760893E-3</v>
      </c>
      <c r="C38" s="9">
        <f>ROA!D49</f>
        <v>1.8499999999999999E-2</v>
      </c>
      <c r="D38" s="9">
        <f>Leverage!C50</f>
        <v>0.2457</v>
      </c>
      <c r="E38" s="9">
        <f>'Sales Growth'!C38</f>
        <v>-2.1700000000000001E-2</v>
      </c>
      <c r="F38" s="1">
        <f>LN(525110000*14000)</f>
        <v>29.62593093101577</v>
      </c>
      <c r="G38" s="1">
        <f>DPR!H17</f>
        <v>0.49008599999999997</v>
      </c>
    </row>
    <row r="39" spans="1:7">
      <c r="A39" s="12"/>
      <c r="B39" s="5">
        <f>Volume!J20</f>
        <v>5.5397948501593921E-4</v>
      </c>
      <c r="C39" s="9">
        <f>ROA!E49</f>
        <v>8.6900000000000005E-2</v>
      </c>
      <c r="D39" s="9">
        <f>Leverage!D50</f>
        <v>0.19769999999999999</v>
      </c>
      <c r="E39" s="9">
        <f>'Sales Growth'!D38</f>
        <v>1.6799999999999999E-2</v>
      </c>
      <c r="F39" s="1">
        <f>LN(566520000*14000)</f>
        <v>29.701835550907866</v>
      </c>
      <c r="G39" s="1">
        <f>DPR!I17</f>
        <v>0.49177700000000002</v>
      </c>
    </row>
    <row r="40" spans="1:7">
      <c r="A40" s="12"/>
      <c r="B40" s="5">
        <f>Volume!K20</f>
        <v>4.7492404960975006E-4</v>
      </c>
      <c r="C40" s="9">
        <f>ROA!F49</f>
        <v>-5.0000000000000001E-4</v>
      </c>
      <c r="D40" s="9">
        <f>Leverage!E50</f>
        <v>0.28460000000000002</v>
      </c>
      <c r="E40" s="9">
        <f>'Sales Growth'!E38</f>
        <v>3.5700000000000003E-2</v>
      </c>
      <c r="F40" s="1">
        <f>LN(602200000*14000)</f>
        <v>29.762912782609302</v>
      </c>
      <c r="G40" s="1">
        <f>DPR!J17</f>
        <v>0.46976099999999998</v>
      </c>
    </row>
    <row r="41" spans="1:7">
      <c r="A41" s="12"/>
      <c r="B41" s="5">
        <f>Volume!L20</f>
        <v>4.375846494453305E-4</v>
      </c>
      <c r="C41" s="9">
        <f>ROA!G49</f>
        <v>-6.7999999999999996E-3</v>
      </c>
      <c r="D41" s="9">
        <f>Leverage!F50</f>
        <v>0.3044</v>
      </c>
      <c r="E41" s="9">
        <f>'Sales Growth'!F38</f>
        <v>-2.7400000000000001E-2</v>
      </c>
      <c r="F41" s="1">
        <f>LN(625710000*14000)</f>
        <v>29.801210171538322</v>
      </c>
      <c r="G41" s="1">
        <f>DPR!K17</f>
        <v>0.47201700000000002</v>
      </c>
    </row>
    <row r="42" spans="1:7">
      <c r="A42" s="12" t="s">
        <v>4532</v>
      </c>
      <c r="B42" s="5">
        <f>Volume!I21</f>
        <v>2.6659302030978334E-4</v>
      </c>
      <c r="C42" s="9">
        <f>ROA!D71</f>
        <v>7.0199999999999999E-2</v>
      </c>
      <c r="D42" s="9">
        <f>Leverage!C72</f>
        <v>0.2525</v>
      </c>
      <c r="E42" s="9">
        <f>'Sales Growth'!C57</f>
        <v>0.14280000000000001</v>
      </c>
      <c r="F42" s="1">
        <f>LN(7300000000000)</f>
        <v>29.618895464082893</v>
      </c>
      <c r="G42" s="1">
        <f>DPR!H18</f>
        <v>0.300869</v>
      </c>
    </row>
    <row r="43" spans="1:7">
      <c r="A43" s="12"/>
      <c r="B43" s="5">
        <f>Volume!J21</f>
        <v>1.4555446563419071E-4</v>
      </c>
      <c r="C43" s="9">
        <f>ROA!E71</f>
        <v>6.1499999999999999E-2</v>
      </c>
      <c r="D43" s="9">
        <f>Leverage!D72</f>
        <v>0.1172</v>
      </c>
      <c r="E43" s="9">
        <f>'Sales Growth'!D57</f>
        <v>7.6300000000000007E-2</v>
      </c>
      <c r="F43" s="1">
        <f>LN(6520000000000)</f>
        <v>29.505895491867111</v>
      </c>
      <c r="G43" s="1">
        <f>DPR!I18</f>
        <v>0.20853200000000002</v>
      </c>
    </row>
    <row r="44" spans="1:7">
      <c r="A44" s="12"/>
      <c r="B44" s="5">
        <f>Volume!K21</f>
        <v>2.1756119839258726E-4</v>
      </c>
      <c r="C44" s="9">
        <f>ROA!F71</f>
        <v>6.7900000000000002E-2</v>
      </c>
      <c r="D44" s="9">
        <f>Leverage!E72</f>
        <v>0.10199999999999999</v>
      </c>
      <c r="E44" s="9">
        <f>'Sales Growth'!E57</f>
        <v>2.4E-2</v>
      </c>
      <c r="F44" s="1">
        <f>LN(6960000000000)</f>
        <v>29.571200590274877</v>
      </c>
      <c r="G44" s="1">
        <f>DPR!J18</f>
        <v>0.20000199999999999</v>
      </c>
    </row>
    <row r="45" spans="1:7">
      <c r="A45" s="12"/>
      <c r="B45" s="5">
        <f>Volume!L21</f>
        <v>1.0288277147425375E-3</v>
      </c>
      <c r="C45" s="9">
        <f>ROA!G71</f>
        <v>4.3799999999999999E-2</v>
      </c>
      <c r="D45" s="9">
        <f>Leverage!F72</f>
        <v>0.1469</v>
      </c>
      <c r="E45" s="9">
        <f>'Sales Growth'!F57</f>
        <v>-2.6800000000000001E-2</v>
      </c>
      <c r="F45" s="1">
        <f>LN(7420000000000)</f>
        <v>29.635200173107837</v>
      </c>
      <c r="G45" s="1">
        <f>DPR!K18</f>
        <v>0.25604199999999999</v>
      </c>
    </row>
    <row r="46" spans="1:7">
      <c r="A46" s="12" t="s">
        <v>4533</v>
      </c>
      <c r="B46" s="5">
        <f>Volume!I22</f>
        <v>8.2259888759288028E-4</v>
      </c>
      <c r="C46" s="9">
        <f>ROA!D75</f>
        <v>1.09E-2</v>
      </c>
      <c r="D46" s="9">
        <f>Leverage!C76</f>
        <v>0.45760000000000001</v>
      </c>
      <c r="E46" s="9">
        <f>'Sales Growth'!C60</f>
        <v>8.0000000000000004E-4</v>
      </c>
      <c r="F46" s="1">
        <f>LN(2930000000000)</f>
        <v>28.706023538957524</v>
      </c>
      <c r="G46" s="1">
        <f>DPR!H19</f>
        <v>0.34653099999999998</v>
      </c>
    </row>
    <row r="47" spans="1:7">
      <c r="A47" s="12"/>
      <c r="B47" s="5">
        <f>Volume!J22</f>
        <v>3.2693032712024727E-3</v>
      </c>
      <c r="C47" s="9">
        <f>ROA!E75</f>
        <v>1.4E-2</v>
      </c>
      <c r="D47" s="9">
        <f>Leverage!D76</f>
        <v>0.4113</v>
      </c>
      <c r="E47" s="9">
        <f>'Sales Growth'!D60</f>
        <v>2.0899999999999998E-2</v>
      </c>
      <c r="F47" s="1">
        <f>LN(2940000000000)</f>
        <v>28.709430697279139</v>
      </c>
      <c r="G47" s="1">
        <f>DPR!I19</f>
        <v>0.37861899999999998</v>
      </c>
    </row>
    <row r="48" spans="1:7">
      <c r="A48" s="12"/>
      <c r="B48" s="5">
        <f>Volume!K22</f>
        <v>1.0651600980369346E-3</v>
      </c>
      <c r="C48" s="9">
        <f>ROA!F75</f>
        <v>1.52E-2</v>
      </c>
      <c r="D48" s="9">
        <f>Leverage!E76</f>
        <v>0.43140000000000001</v>
      </c>
      <c r="E48" s="9">
        <f>'Sales Growth'!E60</f>
        <v>7.9000000000000008E-3</v>
      </c>
      <c r="F48" s="1">
        <f>LN(3390000000000)</f>
        <v>28.851851037320905</v>
      </c>
      <c r="G48" s="1">
        <f>DPR!J19</f>
        <v>0.377778</v>
      </c>
    </row>
    <row r="49" spans="1:7">
      <c r="A49" s="12"/>
      <c r="B49" s="5">
        <f>Volume!L22</f>
        <v>2.478870109342391E-4</v>
      </c>
      <c r="C49" s="9">
        <f>ROA!G75</f>
        <v>1.9199999999999998E-2</v>
      </c>
      <c r="D49" s="9">
        <f>Leverage!F76</f>
        <v>0.41410000000000002</v>
      </c>
      <c r="E49" s="9">
        <f>'Sales Growth'!F60</f>
        <v>5.7099999999999998E-2</v>
      </c>
      <c r="F49" s="1">
        <f>LN(3000000000000)</f>
        <v>28.729633404596658</v>
      </c>
      <c r="G49" s="1">
        <f>DPR!K19</f>
        <v>0.33549699999999999</v>
      </c>
    </row>
    <row r="50" spans="1:7">
      <c r="A50" s="12" t="s">
        <v>4534</v>
      </c>
      <c r="B50" s="5">
        <f>Volume!I23</f>
        <v>7.0790032826889473E-3</v>
      </c>
      <c r="C50" s="9">
        <f>ROA!D77</f>
        <v>0.11310000000000001</v>
      </c>
      <c r="D50" s="9">
        <f>Leverage!C78</f>
        <v>0.1275</v>
      </c>
      <c r="E50" s="9">
        <f>'Sales Growth'!C61</f>
        <v>6.0600000000000001E-2</v>
      </c>
      <c r="F50" s="1">
        <f>LN(18580000000000)</f>
        <v>30.55310684931424</v>
      </c>
      <c r="G50" s="1">
        <f>DPR!H20</f>
        <v>0.29999699999999996</v>
      </c>
    </row>
    <row r="51" spans="1:7">
      <c r="A51" s="12"/>
      <c r="B51" s="5">
        <f>Volume!J23</f>
        <v>5.1399352933855042E-3</v>
      </c>
      <c r="C51" s="9">
        <f>ROA!E77</f>
        <v>0.22070000000000001</v>
      </c>
      <c r="D51" s="9">
        <f>Leverage!D78</f>
        <v>4.4299999999999999E-2</v>
      </c>
      <c r="E51" s="9">
        <f>'Sales Growth'!D61</f>
        <v>0.11849999999999999</v>
      </c>
      <c r="F51" s="1">
        <f>LN(21990000000000)</f>
        <v>30.721608920495218</v>
      </c>
      <c r="G51" s="1">
        <f>DPR!I20</f>
        <v>0.40000200000000002</v>
      </c>
    </row>
    <row r="52" spans="1:7">
      <c r="A52" s="12"/>
      <c r="B52" s="5">
        <f>Volume!K23</f>
        <v>5.3591342834806762E-3</v>
      </c>
      <c r="C52" s="9">
        <f>ROA!F77</f>
        <v>0.2177</v>
      </c>
      <c r="D52" s="9">
        <f>Leverage!E78</f>
        <v>3.44E-2</v>
      </c>
      <c r="E52" s="9">
        <f>'Sales Growth'!E61</f>
        <v>0.14249999999999999</v>
      </c>
      <c r="F52" s="1">
        <f>LN(24170000000000)</f>
        <v>30.816133310643941</v>
      </c>
      <c r="G52" s="1">
        <f>DPR!J20</f>
        <v>0.34379599999999999</v>
      </c>
    </row>
    <row r="53" spans="1:7">
      <c r="A53" s="12"/>
      <c r="B53" s="5">
        <f>Volume!L23</f>
        <v>1.6468026691765475E-2</v>
      </c>
      <c r="C53" s="9">
        <f>ROA!G77</f>
        <v>0.16139999999999999</v>
      </c>
      <c r="D53" s="9">
        <f>Leverage!F78</f>
        <v>2.4199999999999999E-2</v>
      </c>
      <c r="E53" s="9">
        <f>'Sales Growth'!F61</f>
        <v>0.115</v>
      </c>
      <c r="F53" s="1">
        <f>LN(26100000000000)</f>
        <v>30.892956430257197</v>
      </c>
      <c r="G53" s="1">
        <f>DPR!K20</f>
        <v>0.5</v>
      </c>
    </row>
    <row r="54" spans="1:7">
      <c r="A54" s="12" t="s">
        <v>4535</v>
      </c>
      <c r="B54" s="5">
        <f>Volume!I24</f>
        <v>1.5535782915299529E-2</v>
      </c>
      <c r="C54" s="9">
        <f>ROA!D96</f>
        <v>0.15029999999999999</v>
      </c>
      <c r="D54" s="9">
        <f>Leverage!C98</f>
        <v>0.1996</v>
      </c>
      <c r="E54" s="9">
        <f>'Sales Growth'!C74</f>
        <v>1.5900000000000001E-2</v>
      </c>
      <c r="F54" s="1">
        <f>LN(2130000000*14000)</f>
        <v>31.026200425265142</v>
      </c>
      <c r="G54" s="1">
        <f>DPR!H21</f>
        <v>0.49882200000000004</v>
      </c>
    </row>
    <row r="55" spans="1:7">
      <c r="A55" s="12"/>
      <c r="B55" s="5">
        <f>Volume!J24</f>
        <v>3.6119607338091341E-3</v>
      </c>
      <c r="C55" s="9">
        <f>ROA!E96</f>
        <v>0.1245</v>
      </c>
      <c r="D55" s="9">
        <f>Leverage!D98</f>
        <v>0.2112</v>
      </c>
      <c r="E55" s="9">
        <f>'Sales Growth'!D74</f>
        <v>5.8500000000000003E-2</v>
      </c>
      <c r="F55" s="1">
        <f>LN(2990000000*14000)</f>
        <v>31.365351832946402</v>
      </c>
      <c r="G55" s="1">
        <f>DPR!I21</f>
        <v>0.497618</v>
      </c>
    </row>
    <row r="56" spans="1:7">
      <c r="A56" s="12"/>
      <c r="B56" s="5">
        <f>Volume!K24</f>
        <v>1.6246570368940684E-3</v>
      </c>
      <c r="C56" s="9">
        <f>ROA!F96</f>
        <v>5.8999999999999997E-2</v>
      </c>
      <c r="D56" s="9">
        <f>Leverage!E98</f>
        <v>0.19159999999999999</v>
      </c>
      <c r="E56" s="9">
        <f>'Sales Growth'!E74</f>
        <v>4.9399999999999999E-2</v>
      </c>
      <c r="F56" s="1">
        <f>LN(3170000000*14000)</f>
        <v>31.423810033432996</v>
      </c>
      <c r="G56" s="1">
        <f>DPR!J21</f>
        <v>0.49697799999999998</v>
      </c>
    </row>
    <row r="57" spans="1:7">
      <c r="A57" s="12"/>
      <c r="B57" s="5">
        <f>Volume!L24</f>
        <v>3.3798668713956957E-3</v>
      </c>
      <c r="C57" s="9">
        <f>ROA!G96</f>
        <v>6.8999999999999999E-3</v>
      </c>
      <c r="D57" s="9">
        <f>Leverage!F98</f>
        <v>0.2283</v>
      </c>
      <c r="E57" s="9">
        <f>'Sales Growth'!F74</f>
        <v>1.1000000000000001E-3</v>
      </c>
      <c r="F57" s="1">
        <f>LN(3450000000*14000)</f>
        <v>31.508452676587076</v>
      </c>
      <c r="G57" s="1">
        <f>DPR!K21</f>
        <v>0.49760200000000004</v>
      </c>
    </row>
    <row r="58" spans="1:7">
      <c r="A58" s="12" t="s">
        <v>4536</v>
      </c>
      <c r="B58" s="5">
        <f>Volume!I25</f>
        <v>6.692619768407927E-4</v>
      </c>
      <c r="C58" s="9">
        <f>ROA!D97</f>
        <v>9.0399999999999994E-2</v>
      </c>
      <c r="D58" s="9">
        <f>Leverage!C99</f>
        <v>0.33169999999999999</v>
      </c>
      <c r="E58" s="9">
        <f>'Sales Growth'!C75</f>
        <v>0.16639999999999999</v>
      </c>
      <c r="F58">
        <f>LN(24200000000000)</f>
        <v>30.817373749091189</v>
      </c>
      <c r="G58">
        <f>DPR!H22</f>
        <v>0.247559</v>
      </c>
    </row>
    <row r="59" spans="1:7">
      <c r="A59" s="12"/>
      <c r="B59" s="5">
        <f>Volume!J25</f>
        <v>8.1874877084826489E-4</v>
      </c>
      <c r="C59" s="9">
        <f>ROA!E97</f>
        <v>0.1026</v>
      </c>
      <c r="D59" s="9">
        <f>Leverage!D99</f>
        <v>0.27310000000000001</v>
      </c>
      <c r="E59" s="9">
        <f>'Sales Growth'!D75</f>
        <v>0.18709999999999999</v>
      </c>
      <c r="F59">
        <f>LN(24530000000000)</f>
        <v>30.830917974198947</v>
      </c>
      <c r="G59" s="1">
        <f>DPR!I22</f>
        <v>0.24932199999999999</v>
      </c>
    </row>
    <row r="60" spans="1:7">
      <c r="A60" s="12"/>
      <c r="B60" s="5">
        <f>Volume!K25</f>
        <v>1.5236681480945097E-3</v>
      </c>
      <c r="C60" s="9">
        <f>ROA!F97</f>
        <v>0.17460000000000001</v>
      </c>
      <c r="D60" s="9">
        <f>Leverage!E99</f>
        <v>0.2399</v>
      </c>
      <c r="E60" s="9">
        <f>'Sales Growth'!E75</f>
        <v>0.16489999999999999</v>
      </c>
      <c r="F60">
        <f>LN(27650000000000)</f>
        <v>30.950646843896891</v>
      </c>
      <c r="G60" s="1">
        <f>DPR!J22</f>
        <v>0.39855100000000004</v>
      </c>
    </row>
    <row r="61" spans="1:7">
      <c r="A61" s="12"/>
      <c r="B61" s="5">
        <f>Volume!L25</f>
        <v>1.0669791352092967E-3</v>
      </c>
      <c r="C61" s="9">
        <f>ROA!G97</f>
        <v>0.1275</v>
      </c>
      <c r="D61" s="9">
        <f>Leverage!F99</f>
        <v>0.161</v>
      </c>
      <c r="E61" s="9">
        <f>'Sales Growth'!F75</f>
        <v>0.155</v>
      </c>
      <c r="F61">
        <f>LN(29350000000000)</f>
        <v>31.010313662202655</v>
      </c>
      <c r="G61" s="1">
        <f>DPR!K22</f>
        <v>0.49940800000000002</v>
      </c>
    </row>
    <row r="62" spans="1:7">
      <c r="A62" s="12" t="s">
        <v>4537</v>
      </c>
      <c r="B62" s="5">
        <f>Volume!I26</f>
        <v>7.4490572917540639E-4</v>
      </c>
      <c r="C62" s="9">
        <f>ROA!D111</f>
        <v>0.1046</v>
      </c>
      <c r="D62" s="9">
        <f>Leverage!C116</f>
        <v>0.1</v>
      </c>
      <c r="E62" s="9">
        <f>'Sales Growth'!C86</f>
        <v>0.1037</v>
      </c>
      <c r="F62" s="1">
        <f>LN(1530000000000)</f>
        <v>28.056288851332891</v>
      </c>
      <c r="G62" s="1">
        <f>DPR!H23</f>
        <v>0.48091899999999999</v>
      </c>
    </row>
    <row r="63" spans="1:7">
      <c r="A63" s="12"/>
      <c r="B63" s="5">
        <f>Volume!J26</f>
        <v>3.4013960236319927E-3</v>
      </c>
      <c r="C63" s="9">
        <f>ROA!E111</f>
        <v>0.1023</v>
      </c>
      <c r="D63" s="9">
        <f>Leverage!D116</f>
        <v>0.123</v>
      </c>
      <c r="E63" s="9">
        <f>'Sales Growth'!D86</f>
        <v>7.9000000000000001E-2</v>
      </c>
      <c r="F63" s="1">
        <f>LN(1640000000000)</f>
        <v>28.125717357764657</v>
      </c>
      <c r="G63" s="1">
        <f>DPR!I23</f>
        <v>0.48653900000000005</v>
      </c>
    </row>
    <row r="64" spans="1:7">
      <c r="A64" s="12"/>
      <c r="B64" s="5">
        <f>Volume!K26</f>
        <v>1.391170973665485E-3</v>
      </c>
      <c r="C64" s="9">
        <f>ROA!F111</f>
        <v>0.1207</v>
      </c>
      <c r="D64" s="9">
        <f>Leverage!E116</f>
        <v>0.14799999999999999</v>
      </c>
      <c r="E64" s="9">
        <f>'Sales Growth'!E86</f>
        <v>9.2100000000000001E-2</v>
      </c>
      <c r="F64" s="1">
        <f>LN(1680000000000)</f>
        <v>28.149814909343714</v>
      </c>
      <c r="G64" s="1">
        <f>DPR!J23</f>
        <v>0.75815900000000003</v>
      </c>
    </row>
    <row r="65" spans="1:7">
      <c r="A65" s="12"/>
      <c r="B65" s="5">
        <f>Volume!L26</f>
        <v>1.3608191831479422E-3</v>
      </c>
      <c r="C65" s="9">
        <f>ROA!G111</f>
        <v>0.1263</v>
      </c>
      <c r="D65" s="9">
        <f>Leverage!F116</f>
        <v>0.16919999999999999</v>
      </c>
      <c r="E65" s="9">
        <f>'Sales Growth'!F86</f>
        <v>0.1051</v>
      </c>
      <c r="F65" s="1">
        <f>LN(1830000000000)</f>
        <v>28.235337082781879</v>
      </c>
      <c r="G65" s="1">
        <f>DPR!K23</f>
        <v>0.47059799999999996</v>
      </c>
    </row>
    <row r="66" spans="1:7">
      <c r="A66" s="12" t="s">
        <v>4538</v>
      </c>
      <c r="B66" s="5">
        <f>Volume!I27</f>
        <v>9.9758956407769201E-5</v>
      </c>
      <c r="C66" s="9">
        <f>ROA!D112</f>
        <v>0.22689999999999999</v>
      </c>
      <c r="D66" s="9">
        <f>Leverage!C117</f>
        <v>0.23</v>
      </c>
      <c r="E66" s="9">
        <f>'Sales Growth'!C87</f>
        <v>7.9600000000000004E-2</v>
      </c>
      <c r="F66" s="1">
        <f>LN(1200000000000)</f>
        <v>27.813342672722502</v>
      </c>
      <c r="G66" s="1">
        <f>DPR!H24</f>
        <v>0.56801000000000001</v>
      </c>
    </row>
    <row r="67" spans="1:7">
      <c r="A67" s="12"/>
      <c r="B67" s="5">
        <f>Volume!J27</f>
        <v>8.1915891034021866E-5</v>
      </c>
      <c r="C67" s="9">
        <f>ROA!E112</f>
        <v>0.22040000000000001</v>
      </c>
      <c r="D67" s="9">
        <f>Leverage!D117</f>
        <v>0.2142</v>
      </c>
      <c r="E67" s="9">
        <f>'Sales Growth'!D87</f>
        <v>2.5000000000000001E-2</v>
      </c>
      <c r="F67" s="1">
        <f>LN(1340000000000)</f>
        <v>27.923690729891369</v>
      </c>
      <c r="G67" s="1">
        <f>DPR!I24</f>
        <v>0.74414599999999997</v>
      </c>
    </row>
    <row r="68" spans="1:7">
      <c r="A68" s="12"/>
      <c r="B68" s="5">
        <f>Volume!K27</f>
        <v>6.6505970938512791E-5</v>
      </c>
      <c r="C68" s="9">
        <f>ROA!F112</f>
        <v>0.2361</v>
      </c>
      <c r="D68" s="9">
        <f>Leverage!E117</f>
        <v>0.2354</v>
      </c>
      <c r="E68" s="9">
        <f>'Sales Growth'!E87</f>
        <v>1.3899999999999999E-2</v>
      </c>
      <c r="F68" s="1">
        <f>LN(1520000000000)</f>
        <v>28.049731450786734</v>
      </c>
      <c r="G68" s="1">
        <f>DPR!J24</f>
        <v>0.61576999999999993</v>
      </c>
    </row>
    <row r="69" spans="1:7">
      <c r="A69" s="12"/>
      <c r="B69" s="5">
        <f>Volume!L27</f>
        <v>7.8509487644488278E-4</v>
      </c>
      <c r="C69" s="9">
        <f>ROA!G112</f>
        <v>0.21560000000000001</v>
      </c>
      <c r="D69" s="9">
        <f>Leverage!F117</f>
        <v>0.24201</v>
      </c>
      <c r="E69" s="9">
        <f>'Sales Growth'!F87</f>
        <v>-3.7000000000000002E-3</v>
      </c>
      <c r="F69" s="1">
        <f>LN(1430000000000)</f>
        <v>27.988695560200362</v>
      </c>
      <c r="G69" s="1">
        <f>DPR!K24</f>
        <v>0.98224999999999996</v>
      </c>
    </row>
    <row r="70" spans="1:7">
      <c r="A70" s="12" t="s">
        <v>4539</v>
      </c>
      <c r="B70" s="5">
        <f>Volume!I28</f>
        <v>2.0436530208893917E-3</v>
      </c>
      <c r="C70" s="9">
        <f>ROA!D117</f>
        <v>3.1300000000000001E-2</v>
      </c>
      <c r="D70" s="9">
        <f>Leverage!C122</f>
        <v>0.5373</v>
      </c>
      <c r="E70" s="9">
        <f>'Sales Growth'!C91</f>
        <v>8.1799999999999998E-2</v>
      </c>
      <c r="F70" s="1">
        <f>LN(8180000000000)</f>
        <v>29.732713266543204</v>
      </c>
      <c r="G70" s="1">
        <f>DPR!H25</f>
        <v>0.72466600000000003</v>
      </c>
    </row>
    <row r="71" spans="1:7">
      <c r="A71" s="12"/>
      <c r="B71" s="5">
        <f>Volume!J28</f>
        <v>1.2410008923951525E-3</v>
      </c>
      <c r="C71" s="9">
        <f>ROA!E117</f>
        <v>6.9199999999999998E-2</v>
      </c>
      <c r="D71" s="9">
        <f>Leverage!D122</f>
        <v>0.48039999999999999</v>
      </c>
      <c r="E71" s="9">
        <f>'Sales Growth'!D91</f>
        <v>0.1023</v>
      </c>
      <c r="F71" s="1">
        <f>LN(8450000000000)</f>
        <v>29.765187557297629</v>
      </c>
      <c r="G71" s="1">
        <f>DPR!I25</f>
        <v>0.63656400000000002</v>
      </c>
    </row>
    <row r="72" spans="1:7">
      <c r="A72" s="12"/>
      <c r="B72" s="5">
        <f>Volume!K28</f>
        <v>4.1169242015018186E-4</v>
      </c>
      <c r="C72" s="9">
        <f>ROA!F117</f>
        <v>4.1700000000000001E-2</v>
      </c>
      <c r="D72" s="9">
        <f>Leverage!E122</f>
        <v>0.55489999999999995</v>
      </c>
      <c r="E72" s="9">
        <f>'Sales Growth'!E91</f>
        <v>6.1600000000000002E-2</v>
      </c>
      <c r="F72" s="1">
        <f>LN(11740000000000)</f>
        <v>30.094022930328499</v>
      </c>
      <c r="G72" s="1">
        <f>DPR!J25</f>
        <v>0.62098900000000001</v>
      </c>
    </row>
    <row r="73" spans="1:7">
      <c r="A73" s="12"/>
      <c r="B73" s="5">
        <f>Volume!L28</f>
        <v>2.3162644866121476E-4</v>
      </c>
      <c r="C73" s="9">
        <f>ROA!G117</f>
        <v>1.54E-2</v>
      </c>
      <c r="D73" s="9">
        <f>Leverage!F122</f>
        <v>0.55200000000000005</v>
      </c>
      <c r="E73" s="9">
        <f>'Sales Growth'!F91</f>
        <v>4.7600000000000003E-2</v>
      </c>
      <c r="F73" s="1">
        <f>LN(11620000000000)</f>
        <v>30.083748867352313</v>
      </c>
      <c r="G73" s="1">
        <f>DPR!K25</f>
        <v>0.60350599999999999</v>
      </c>
    </row>
    <row r="74" spans="1:7">
      <c r="A74" s="12" t="s">
        <v>4540</v>
      </c>
      <c r="B74" s="5">
        <f>Volume!I29</f>
        <v>2.8750000000000001E-5</v>
      </c>
      <c r="C74" s="9">
        <f>ROA!D156</f>
        <v>5.4399999999999997E-2</v>
      </c>
      <c r="D74" s="9">
        <f>Leverage!C164</f>
        <v>0.1893</v>
      </c>
      <c r="E74" s="9">
        <f>'Sales Growth'!C120</f>
        <v>0.13320000000000001</v>
      </c>
      <c r="F74" s="7">
        <f>'Sales Growth'!C120</f>
        <v>0.13320000000000001</v>
      </c>
      <c r="G74" s="4">
        <f>DPR!H26</f>
        <v>0.35996100000000003</v>
      </c>
    </row>
    <row r="75" spans="1:7">
      <c r="A75" s="12"/>
      <c r="B75" s="5">
        <f>Volume!J29</f>
        <v>1.25E-4</v>
      </c>
      <c r="C75" s="9">
        <f>ROA!E156</f>
        <v>3.2000000000000001E-2</v>
      </c>
      <c r="D75" s="9">
        <f>Leverage!D164</f>
        <v>0.25609999999999999</v>
      </c>
      <c r="E75" s="9">
        <f>'Sales Growth'!D120</f>
        <v>0.09</v>
      </c>
      <c r="F75" s="7">
        <f>'Sales Growth'!D120</f>
        <v>0.09</v>
      </c>
      <c r="G75" s="4">
        <f>DPR!I26</f>
        <v>0.33438099999999998</v>
      </c>
    </row>
    <row r="76" spans="1:7">
      <c r="A76" s="12"/>
      <c r="B76" s="5">
        <f>Volume!K29</f>
        <v>7.6500000000000003E-5</v>
      </c>
      <c r="C76" s="9">
        <f>ROA!F156</f>
        <v>2.41E-2</v>
      </c>
      <c r="D76" s="9">
        <f>Leverage!E164</f>
        <v>0.2979</v>
      </c>
      <c r="E76" s="9">
        <f>'Sales Growth'!E120</f>
        <v>0.13619999999999999</v>
      </c>
      <c r="F76" s="7">
        <f>'Sales Growth'!E120</f>
        <v>0.13619999999999999</v>
      </c>
      <c r="G76" s="4">
        <f>DPR!J26</f>
        <v>0.41891000000000006</v>
      </c>
    </row>
    <row r="77" spans="1:7">
      <c r="A77" s="12"/>
      <c r="B77" s="5">
        <f>Volume!L29</f>
        <v>5.0099999999999998E-5</v>
      </c>
      <c r="C77" s="9">
        <f>ROA!G156</f>
        <v>2.6499999999999999E-2</v>
      </c>
      <c r="D77" s="9">
        <f>Leverage!F164</f>
        <v>0.2452</v>
      </c>
      <c r="E77" s="9">
        <f>'Sales Growth'!F120</f>
        <v>0.1459</v>
      </c>
      <c r="F77" s="7">
        <f>'Sales Growth'!F120</f>
        <v>0.1459</v>
      </c>
      <c r="G77" s="4">
        <f>DPR!K26</f>
        <v>4.1099999999999999E-3</v>
      </c>
    </row>
    <row r="78" spans="1:7">
      <c r="A78" s="12" t="s">
        <v>4541</v>
      </c>
      <c r="B78" s="5">
        <f>Volume!I30</f>
        <v>6.0961968680089485E-5</v>
      </c>
      <c r="C78" s="9">
        <f>ROA!D175</f>
        <v>6.9400000000000003E-2</v>
      </c>
      <c r="D78" s="9">
        <f>Leverage!C185</f>
        <v>2.8E-3</v>
      </c>
      <c r="E78" s="9">
        <f>'Sales Growth'!C136</f>
        <v>-0.1386</v>
      </c>
      <c r="F78" s="4">
        <f>LN(239280000*14000)</f>
        <v>28.839957580883361</v>
      </c>
      <c r="G78" s="4">
        <f>DPR!H27</f>
        <v>1.006715</v>
      </c>
    </row>
    <row r="79" spans="1:7">
      <c r="A79" s="12"/>
      <c r="B79" s="5">
        <f>Volume!J30</f>
        <v>1.9574944071588367E-5</v>
      </c>
      <c r="C79" s="9">
        <f>ROA!E175</f>
        <v>8.6300000000000002E-2</v>
      </c>
      <c r="D79" s="9">
        <f>Leverage!D185</f>
        <v>1.35E-2</v>
      </c>
      <c r="E79" s="9">
        <f>'Sales Growth'!D136</f>
        <v>-9.7799999999999998E-2</v>
      </c>
      <c r="F79" s="4">
        <f>LN(283350000*14000)</f>
        <v>29.009006049177298</v>
      </c>
      <c r="G79" s="4">
        <f>DPR!I27</f>
        <v>1.041825</v>
      </c>
    </row>
    <row r="80" spans="1:7">
      <c r="A80" s="12"/>
      <c r="B80" s="5">
        <f>Volume!K30</f>
        <v>1.9799944071588365E-5</v>
      </c>
      <c r="C80" s="9">
        <f>ROA!F175</f>
        <v>0.11940000000000001</v>
      </c>
      <c r="D80" s="9">
        <f>Leverage!E185</f>
        <v>1.0699999999999999E-2</v>
      </c>
      <c r="E80" s="9">
        <f>'Sales Growth'!E136</f>
        <v>0.02</v>
      </c>
      <c r="F80" s="4">
        <f>LN(346310000*14000)</f>
        <v>29.20965749424963</v>
      </c>
      <c r="G80" s="4">
        <f>DPR!J27</f>
        <v>0.99550300000000003</v>
      </c>
    </row>
    <row r="81" spans="1:7">
      <c r="A81" s="12"/>
      <c r="B81" s="5">
        <f>Volume!L30</f>
        <v>1.6219239373601788E-2</v>
      </c>
      <c r="C81" s="9">
        <f>ROA!G175</f>
        <v>0.1255</v>
      </c>
      <c r="D81" s="9">
        <f>Leverage!F185</f>
        <v>0.1182</v>
      </c>
      <c r="E81" s="9">
        <f>'Sales Growth'!F136</f>
        <v>3.9800000000000002E-2</v>
      </c>
      <c r="F81" s="4">
        <f>LN(266020000*14000)</f>
        <v>28.945894660486822</v>
      </c>
      <c r="G81" s="4">
        <f>DPR!K27</f>
        <v>0.770316</v>
      </c>
    </row>
    <row r="82" spans="1:7">
      <c r="A82" s="12" t="s">
        <v>4542</v>
      </c>
      <c r="B82" s="5">
        <f>Volume!I31</f>
        <v>2.3739505069719749E-3</v>
      </c>
      <c r="C82" s="9">
        <f>ROA!D177</f>
        <v>0.317</v>
      </c>
      <c r="D82" s="9">
        <f>Leverage!C187</f>
        <v>2E-3</v>
      </c>
      <c r="E82" s="9">
        <f>'Sales Growth'!C137</f>
        <v>0.1275</v>
      </c>
      <c r="F82" s="4">
        <f>LN(42510000000000)</f>
        <v>31.380760458299246</v>
      </c>
      <c r="G82" s="4">
        <f>DPR!H28</f>
        <v>0.95417800000000008</v>
      </c>
    </row>
    <row r="83" spans="1:7">
      <c r="A83" s="12"/>
      <c r="B83" s="5">
        <f>Volume!J31</f>
        <v>3.3035853988861576E-3</v>
      </c>
      <c r="C83" s="9">
        <f>ROA!E177</f>
        <v>0.2959</v>
      </c>
      <c r="D83" s="9">
        <f>Leverage!D187</f>
        <v>2.5000000000000001E-3</v>
      </c>
      <c r="E83" s="9">
        <f>'Sales Growth'!D137</f>
        <v>8.3000000000000004E-2</v>
      </c>
      <c r="F83" s="4">
        <f>LN(43140000000000)</f>
        <v>31.39547175688956</v>
      </c>
      <c r="G83" s="4">
        <f>DPR!I28</f>
        <v>0.50550200000000001</v>
      </c>
    </row>
    <row r="84" spans="1:7">
      <c r="A84" s="12"/>
      <c r="B84" s="5">
        <f>Volume!K31</f>
        <v>1.1451359519386785E-3</v>
      </c>
      <c r="C84" s="9">
        <f>ROA!F177</f>
        <v>0.30170000000000002</v>
      </c>
      <c r="D84" s="9">
        <f>Leverage!E187</f>
        <v>2.5000000000000001E-3</v>
      </c>
      <c r="E84" s="9">
        <f>'Sales Growth'!E137</f>
        <v>7.3300000000000004E-2</v>
      </c>
      <c r="F84" s="4">
        <f>LN(46600000000000)</f>
        <v>31.472621657060149</v>
      </c>
      <c r="G84" s="4">
        <f>DPR!J28</f>
        <v>0.52293599999999996</v>
      </c>
    </row>
    <row r="85" spans="1:7">
      <c r="A85" s="12"/>
      <c r="B85" s="5">
        <f>Volume!L31</f>
        <v>7.0278563777137516E-3</v>
      </c>
      <c r="C85" s="9">
        <f>ROA!G177</f>
        <v>0.28149999999999997</v>
      </c>
      <c r="D85" s="9">
        <f>Leverage!F187</f>
        <v>8.2000000000000007E-3</v>
      </c>
      <c r="E85" s="9">
        <f>'Sales Growth'!F137</f>
        <v>5.6899999999999999E-2</v>
      </c>
      <c r="F85" s="4">
        <f>LN(50900000000000)</f>
        <v>31.560884039485025</v>
      </c>
      <c r="G85" s="4">
        <f>DPR!K28</f>
        <v>0.32821999999999996</v>
      </c>
    </row>
    <row r="86" spans="1:7">
      <c r="A86" s="12" t="s">
        <v>4543</v>
      </c>
      <c r="B86" s="5">
        <f>Volume!I32</f>
        <v>9.2375575232138719E-3</v>
      </c>
      <c r="C86" s="9">
        <f>ROA!D189</f>
        <v>0.1095</v>
      </c>
      <c r="D86" s="9">
        <f>Leverage!C199</f>
        <v>7.3400000000000007E-2</v>
      </c>
      <c r="E86" s="9">
        <f>'Sales Growth'!C137</f>
        <v>0.1275</v>
      </c>
      <c r="F86" s="4">
        <f>LN(1210000000*14000)</f>
        <v>30.460698805152457</v>
      </c>
      <c r="G86" s="4">
        <f>DPR!H29</f>
        <v>0.98160400000000003</v>
      </c>
    </row>
    <row r="87" spans="1:7">
      <c r="A87" s="12"/>
      <c r="B87" s="5">
        <f>Volume!J32</f>
        <v>5.298418879681229E-3</v>
      </c>
      <c r="C87" s="9">
        <f>ROA!E189</f>
        <v>0.19670000000000001</v>
      </c>
      <c r="D87" s="9">
        <f>Leverage!D199</f>
        <v>5.7799999999999997E-2</v>
      </c>
      <c r="E87" s="9">
        <f>'Sales Growth'!D137</f>
        <v>8.3000000000000004E-2</v>
      </c>
      <c r="F87" s="4">
        <f>LN(1336000000*14000)</f>
        <v>30.55975852065826</v>
      </c>
      <c r="G87" s="4">
        <f>DPR!I29</f>
        <v>0.98503600000000002</v>
      </c>
    </row>
    <row r="88" spans="1:7">
      <c r="A88" s="12"/>
      <c r="B88" s="5">
        <f>Volume!K32</f>
        <v>2.0258823601210481E-3</v>
      </c>
      <c r="C88" s="9">
        <f>ROA!F189</f>
        <v>0.187</v>
      </c>
      <c r="D88" s="9">
        <f>Leverage!E199</f>
        <v>8.1199999999999994E-2</v>
      </c>
      <c r="E88" s="9">
        <f>'Sales Growth'!E137</f>
        <v>7.3300000000000004E-2</v>
      </c>
      <c r="F88" s="4">
        <f>LN(1440000000*14000)</f>
        <v>30.634721559131716</v>
      </c>
      <c r="G88" s="4">
        <f>DPR!J29</f>
        <v>1.006948</v>
      </c>
    </row>
    <row r="89" spans="1:7">
      <c r="A89" s="12"/>
      <c r="B89" s="5">
        <f>Volume!L32</f>
        <v>9.1265958712833748E-3</v>
      </c>
      <c r="C89" s="9">
        <f>ROA!G189</f>
        <v>9.7600000000000006E-2</v>
      </c>
      <c r="D89" s="9">
        <f>Leverage!F199</f>
        <v>8.8000000000000005E-3</v>
      </c>
      <c r="E89" s="9">
        <f>'Sales Growth'!F137</f>
        <v>5.6899999999999999E-2</v>
      </c>
      <c r="F89" s="4">
        <f>LN(1230000000*14000)</f>
        <v>30.477092614928132</v>
      </c>
      <c r="G89" s="4">
        <f>DPR!K29</f>
        <v>1.015552</v>
      </c>
    </row>
    <row r="90" spans="1:7">
      <c r="A90" s="12" t="s">
        <v>4544</v>
      </c>
      <c r="B90" s="5">
        <f>Volume!I33</f>
        <v>3.7444196089619994E-4</v>
      </c>
      <c r="C90" s="9">
        <f>ROA!D190</f>
        <v>0.13389999999999999</v>
      </c>
      <c r="D90" s="9">
        <f>Leverage!C200</f>
        <v>3.5999999999999999E-3</v>
      </c>
      <c r="E90" s="9">
        <f>'Sales Growth'!C149</f>
        <v>2.98E-2</v>
      </c>
      <c r="F90" s="4">
        <f>LN(30150000000000)</f>
        <v>31.037206039101743</v>
      </c>
      <c r="G90" s="4">
        <f>DPR!H30</f>
        <v>0.80169699999999999</v>
      </c>
    </row>
    <row r="91" spans="1:7">
      <c r="A91" s="12"/>
      <c r="B91" s="5">
        <f>Volume!J33</f>
        <v>8.2605644319712454E-4</v>
      </c>
      <c r="C91" s="9">
        <f>ROA!E190</f>
        <v>6.3E-2</v>
      </c>
      <c r="D91" s="9">
        <f>Leverage!D200</f>
        <v>3.7000000000000002E-3</v>
      </c>
      <c r="E91" s="9">
        <f>'Sales Growth'!D149</f>
        <v>-3.1300000000000001E-2</v>
      </c>
      <c r="F91" s="4">
        <f>LN(28860000000000)</f>
        <v>30.993477669274274</v>
      </c>
      <c r="G91" s="4">
        <f>DPR!I30</f>
        <v>1.3849549999999999</v>
      </c>
    </row>
    <row r="92" spans="1:7">
      <c r="A92" s="12"/>
      <c r="B92" s="5">
        <f>Volume!K33</f>
        <v>1.1919606395126294E-3</v>
      </c>
      <c r="C92" s="9">
        <f>ROA!F190</f>
        <v>4.0500000000000001E-2</v>
      </c>
      <c r="D92" s="9">
        <f>Leverage!E200</f>
        <v>4.1999999999999997E-3</v>
      </c>
      <c r="E92" s="9">
        <f>'Sales Growth'!E149</f>
        <v>-3.6999999999999998E-2</v>
      </c>
      <c r="F92" s="4">
        <f>LN(27790000000000)</f>
        <v>30.955697359682961</v>
      </c>
      <c r="G92" s="4">
        <f>DPR!J30</f>
        <v>0.61549900000000002</v>
      </c>
    </row>
    <row r="93" spans="1:7">
      <c r="A93" s="12"/>
      <c r="B93" s="5">
        <f>Volume!L33</f>
        <v>8.6486446401846603E-4</v>
      </c>
      <c r="C93" s="9">
        <f>ROA!G190</f>
        <v>6.6100000000000006E-2</v>
      </c>
      <c r="D93" s="9">
        <f>Leverage!F200</f>
        <v>4.0000000000000001E-3</v>
      </c>
      <c r="E93" s="9">
        <f>'Sales Growth'!F149</f>
        <v>-4.1099999999999998E-2</v>
      </c>
      <c r="F93" s="4">
        <f>LN(27710000000000)</f>
        <v>30.952814474803436</v>
      </c>
      <c r="G93" s="4">
        <f>DPR!K30</f>
        <v>0.575434</v>
      </c>
    </row>
    <row r="94" spans="1:7">
      <c r="A94" s="12" t="s">
        <v>4545</v>
      </c>
      <c r="B94" s="5">
        <f>Volume!I34</f>
        <v>1.4315730124260537E-3</v>
      </c>
      <c r="C94" s="9">
        <f>ROA!D192</f>
        <v>0.1298</v>
      </c>
      <c r="D94" s="9">
        <f>Leverage!C202</f>
        <v>7.0599999999999996E-2</v>
      </c>
      <c r="E94" s="9">
        <f>'Sales Growth'!C151</f>
        <v>0.1227</v>
      </c>
      <c r="F94" s="4">
        <f>LN(28900000000000)</f>
        <v>30.994862711046935</v>
      </c>
      <c r="G94" s="4">
        <f>DPR!H31</f>
        <v>0.49699700000000002</v>
      </c>
    </row>
    <row r="95" spans="1:7">
      <c r="A95" s="12"/>
      <c r="B95" s="5">
        <f>Volume!J34</f>
        <v>9.4704060822031245E-4</v>
      </c>
      <c r="C95" s="9">
        <f>ROA!E192</f>
        <v>0.1255</v>
      </c>
      <c r="D95" s="9">
        <f>Leverage!D202</f>
        <v>7.4399999999999994E-2</v>
      </c>
      <c r="E95" s="9">
        <f>'Sales Growth'!D151</f>
        <v>0.1056</v>
      </c>
      <c r="F95" s="4">
        <f>LN(31620000000000)</f>
        <v>31.084810947709872</v>
      </c>
      <c r="G95" s="4">
        <f>DPR!I31</f>
        <v>0.78533399999999998</v>
      </c>
    </row>
    <row r="96" spans="1:7">
      <c r="A96" s="12"/>
      <c r="B96" s="5">
        <f>Volume!K34</f>
        <v>1.7663408553318387E-3</v>
      </c>
      <c r="C96" s="9">
        <f>ROA!F192</f>
        <v>0.13869999999999999</v>
      </c>
      <c r="D96" s="9">
        <f>Leverage!E202</f>
        <v>5.9900000000000002E-2</v>
      </c>
      <c r="E96" s="9">
        <f>'Sales Growth'!E151</f>
        <v>9.0300000000000005E-2</v>
      </c>
      <c r="F96" s="4">
        <f>LN(34370000000000)</f>
        <v>31.16820520679029</v>
      </c>
      <c r="G96" s="4">
        <f>DPR!J31</f>
        <v>0.53511699999999995</v>
      </c>
    </row>
    <row r="97" spans="1:7">
      <c r="A97" s="12"/>
      <c r="B97" s="5">
        <f>Volume!L34</f>
        <v>2.3874233007228343E-3</v>
      </c>
      <c r="C97" s="9">
        <f>ROA!G192</f>
        <v>0.13789999999999999</v>
      </c>
      <c r="D97" s="9">
        <f>Leverage!F202</f>
        <v>6.0699999999999997E-2</v>
      </c>
      <c r="E97" s="9">
        <f>'Sales Growth'!F151</f>
        <v>7.1199999999999999E-2</v>
      </c>
      <c r="F97" s="4">
        <f>LN(38710000000000)</f>
        <v>31.287119080518107</v>
      </c>
      <c r="G97" s="4">
        <f>DPR!K31</f>
        <v>0.47937799999999997</v>
      </c>
    </row>
    <row r="98" spans="1:7">
      <c r="A98" s="12" t="s">
        <v>4546</v>
      </c>
      <c r="B98" s="5">
        <f>Volume!I35</f>
        <v>1.7129212423445991E-3</v>
      </c>
      <c r="C98" s="9">
        <f>ROA!D193</f>
        <v>4.7600000000000003E-2</v>
      </c>
      <c r="D98" s="9">
        <f>Leverage!C203</f>
        <v>0.27279999999999999</v>
      </c>
      <c r="E98" s="9">
        <f>'Sales Growth'!C152</f>
        <v>7.9200000000000007E-2</v>
      </c>
      <c r="F98" s="4">
        <f>LN(82170000000000)</f>
        <v>32.039811387871644</v>
      </c>
      <c r="G98" s="4">
        <f>DPR!H32</f>
        <v>0.55290799999999996</v>
      </c>
    </row>
    <row r="99" spans="1:7">
      <c r="A99" s="12"/>
      <c r="B99" s="5">
        <f>Volume!J35</f>
        <v>3.4189999231352252E-3</v>
      </c>
      <c r="C99" s="9">
        <f>ROA!E193</f>
        <v>4.87E-2</v>
      </c>
      <c r="D99" s="9">
        <f>Leverage!D203</f>
        <v>0.27510000000000001</v>
      </c>
      <c r="E99" s="9">
        <f>'Sales Growth'!D152</f>
        <v>7.0400000000000004E-2</v>
      </c>
      <c r="F99" s="4">
        <f>LN(88400000000000)</f>
        <v>32.112893085572146</v>
      </c>
      <c r="G99" s="4">
        <f>DPR!I32</f>
        <v>8.9367000000000002E-2</v>
      </c>
    </row>
    <row r="100" spans="1:7">
      <c r="A100" s="12"/>
      <c r="B100" s="5">
        <f>Volume!K35</f>
        <v>7.891754325582308E-4</v>
      </c>
      <c r="C100" s="9">
        <f>ROA!F193</f>
        <v>4.5100000000000001E-2</v>
      </c>
      <c r="D100" s="9">
        <f>Leverage!E203</f>
        <v>0.30599999999999999</v>
      </c>
      <c r="E100" s="9">
        <f>'Sales Growth'!E152</f>
        <v>5.8000000000000003E-2</v>
      </c>
      <c r="F100" s="4">
        <f>LN(96540000000000)</f>
        <v>32.200978546160897</v>
      </c>
      <c r="G100" s="4">
        <f>DPR!J32</f>
        <v>0.18044000000000002</v>
      </c>
    </row>
    <row r="101" spans="1:7">
      <c r="A101" s="12"/>
      <c r="B101" s="5">
        <f>Volume!L35</f>
        <v>1.0605970408658304E-3</v>
      </c>
      <c r="C101" s="9">
        <f>ROA!G193</f>
        <v>5.0900000000000001E-2</v>
      </c>
      <c r="D101" s="9">
        <f>Leverage!F203</f>
        <v>0.23880000000000001</v>
      </c>
      <c r="E101" s="9">
        <f>'Sales Growth'!F152</f>
        <v>3.7999999999999999E-2</v>
      </c>
      <c r="F101" s="4">
        <f>LN(96200000000000)</f>
        <v>32.197450473600206</v>
      </c>
      <c r="G101" s="4">
        <f>DPR!K32</f>
        <v>8.1008999999999998E-2</v>
      </c>
    </row>
    <row r="102" spans="1:7">
      <c r="A102" s="12" t="s">
        <v>4547</v>
      </c>
      <c r="B102" s="5">
        <f>Volume!I36</f>
        <v>1.5140342213442956E-4</v>
      </c>
      <c r="C102" s="9">
        <f>ROA!D199</f>
        <v>2.1399999999999999E-2</v>
      </c>
      <c r="D102" s="9">
        <f>Leverage!C211</f>
        <v>0.35589999999999999</v>
      </c>
      <c r="E102" s="9">
        <f>'Sales Growth'!C157</f>
        <v>-8.8000000000000005E-3</v>
      </c>
      <c r="F102" s="4">
        <f>LN(282890000*14000)</f>
        <v>29.00738129606486</v>
      </c>
      <c r="G102" s="4">
        <f>DPR!H34</f>
        <v>0.250002</v>
      </c>
    </row>
    <row r="103" spans="1:7">
      <c r="A103" s="12"/>
      <c r="B103" s="5">
        <f>Volume!J36</f>
        <v>3.1715471677967006E-4</v>
      </c>
      <c r="C103" s="9">
        <f>ROA!E199</f>
        <v>7.4000000000000003E-3</v>
      </c>
      <c r="D103" s="9">
        <f>Leverage!D211</f>
        <v>0.34620000000000001</v>
      </c>
      <c r="E103" s="9">
        <f>'Sales Growth'!D157</f>
        <v>-2.47E-2</v>
      </c>
      <c r="F103" s="4">
        <f>LN(287790000*14000)</f>
        <v>29.024554214059634</v>
      </c>
      <c r="G103" s="4">
        <f>DPR!I34</f>
        <v>0.251023</v>
      </c>
    </row>
    <row r="104" spans="1:7">
      <c r="A104" s="12"/>
      <c r="B104" s="5">
        <f>Volume!K36</f>
        <v>4.2501401420105709E-4</v>
      </c>
      <c r="C104" s="9">
        <f>ROA!F199</f>
        <v>1.67E-2</v>
      </c>
      <c r="D104" s="9">
        <f>Leverage!E211</f>
        <v>0.34889999999999999</v>
      </c>
      <c r="E104" s="9">
        <f>'Sales Growth'!E157</f>
        <v>-1.7399999999999999E-2</v>
      </c>
      <c r="F104" s="4">
        <f>LN(292130000*14000)</f>
        <v>29.039522075234849</v>
      </c>
      <c r="G104" s="4">
        <f>DPR!J34</f>
        <v>0.24938400000000002</v>
      </c>
    </row>
    <row r="105" spans="1:7">
      <c r="A105" s="12"/>
      <c r="B105" s="5">
        <f>Volume!L36</f>
        <v>4.7381346431050133E-5</v>
      </c>
      <c r="C105" s="9">
        <f>ROA!G199</f>
        <v>1.4800000000000001E-2</v>
      </c>
      <c r="D105" s="9">
        <f>Leverage!F211</f>
        <v>0.30499999999999999</v>
      </c>
      <c r="E105" s="9">
        <f>'Sales Growth'!F157</f>
        <v>-2.2100000000000002E-2</v>
      </c>
      <c r="F105" s="4">
        <f>LN(277540000*14000)</f>
        <v>28.988288233504534</v>
      </c>
      <c r="G105" s="4">
        <f>DPR!K34</f>
        <v>0.20480200000000001</v>
      </c>
    </row>
    <row r="106" spans="1:7">
      <c r="A106" s="12" t="s">
        <v>4548</v>
      </c>
      <c r="B106" s="5">
        <f>Volume!I37</f>
        <v>1.2814097064965665E-2</v>
      </c>
      <c r="C106" s="9">
        <f>ROA!D202</f>
        <v>1.9800000000000002E-2</v>
      </c>
      <c r="D106" s="9">
        <f>Leverage!C214</f>
        <v>0.11070000000000001</v>
      </c>
      <c r="E106" s="9">
        <f>'Sales Growth'!C160</f>
        <v>6.4100000000000004E-2</v>
      </c>
      <c r="F106" s="4">
        <f>LN(2480000000000)</f>
        <v>28.539279676105441</v>
      </c>
      <c r="G106" s="4">
        <f>DPR!H35</f>
        <v>0.66356700000000002</v>
      </c>
    </row>
    <row r="107" spans="1:7">
      <c r="A107" s="12"/>
      <c r="B107" s="5">
        <f>Volume!J37</f>
        <v>3.3444793339560386E-3</v>
      </c>
      <c r="C107" s="9">
        <f>ROA!E202</f>
        <v>4.6399999999999997E-2</v>
      </c>
      <c r="D107" s="9">
        <f>Leverage!D214</f>
        <v>3.2399999999999998E-2</v>
      </c>
      <c r="E107" s="9">
        <f>'Sales Growth'!D160</f>
        <v>6.54E-2</v>
      </c>
      <c r="F107" s="4">
        <f>LN(2430000000000)</f>
        <v>28.518912373281005</v>
      </c>
      <c r="G107" s="4">
        <f>DPR!I35</f>
        <v>0.30555199999999999</v>
      </c>
    </row>
    <row r="108" spans="1:7">
      <c r="A108" s="12"/>
      <c r="B108" s="5">
        <f>Volume!K37</f>
        <v>5.9470224478505654E-3</v>
      </c>
      <c r="C108" s="9">
        <f>ROA!F202</f>
        <v>4.5199999999999997E-2</v>
      </c>
      <c r="D108" s="9">
        <f>Leverage!E214</f>
        <v>2.5100000000000001E-2</v>
      </c>
      <c r="E108" s="9">
        <f>'Sales Growth'!E160</f>
        <v>7.8700000000000006E-2</v>
      </c>
      <c r="F108" s="4">
        <f>LN(2460000000000)</f>
        <v>28.531182465872821</v>
      </c>
      <c r="G108" s="4">
        <f>DPR!J35</f>
        <v>0.99776799999999999</v>
      </c>
    </row>
    <row r="109" spans="1:7">
      <c r="A109" s="12"/>
      <c r="B109" s="5">
        <f>Volume!L37</f>
        <v>1.4095506771462232E-5</v>
      </c>
      <c r="C109" s="9">
        <f>ROA!G202</f>
        <v>3.7900000000000003E-2</v>
      </c>
      <c r="D109" s="9">
        <f>Leverage!F214</f>
        <v>2.01E-2</v>
      </c>
      <c r="E109" s="9">
        <f>'Sales Growth'!F160</f>
        <v>3.3700000000000001E-2</v>
      </c>
      <c r="F109" s="4">
        <f>LN(2830000000000)</f>
        <v>28.671297827583693</v>
      </c>
      <c r="G109" s="4">
        <f>DPR!K35</f>
        <v>8.6486000000000007E-2</v>
      </c>
    </row>
    <row r="110" spans="1:7">
      <c r="A110" s="12" t="s">
        <v>4549</v>
      </c>
      <c r="B110" s="5">
        <f>Volume!I38</f>
        <v>1.1736271715530324E-3</v>
      </c>
      <c r="C110" s="9">
        <f>ROA!D204</f>
        <v>0.16619999999999999</v>
      </c>
      <c r="D110" s="9">
        <f>Leverage!C216</f>
        <v>0.13339999999999999</v>
      </c>
      <c r="E110" s="9">
        <f>'Sales Growth'!C161</f>
        <v>3.4099999999999998E-2</v>
      </c>
      <c r="F110" s="4">
        <f>LN(29900000000000)</f>
        <v>31.02887959632519</v>
      </c>
      <c r="G110" s="4">
        <f>DPR!H36</f>
        <v>0.79616699999999996</v>
      </c>
    </row>
    <row r="111" spans="1:7">
      <c r="A111" s="12"/>
      <c r="B111" s="5">
        <f>Volume!J38</f>
        <v>2.1114320609715766E-3</v>
      </c>
      <c r="C111" s="9">
        <f>ROA!E204</f>
        <v>0.17369999999999999</v>
      </c>
      <c r="D111" s="9">
        <f>Leverage!D216</f>
        <v>0.15123</v>
      </c>
      <c r="E111" s="9">
        <f>'Sales Growth'!D161</f>
        <v>1.7399999999999999E-2</v>
      </c>
      <c r="F111" s="4">
        <f>LN(3160000000000)</f>
        <v>28.78159314352737</v>
      </c>
      <c r="G111" s="4">
        <f>DPR!I36</f>
        <v>0.99946599999999997</v>
      </c>
    </row>
    <row r="112" spans="1:7">
      <c r="A112" s="12"/>
      <c r="B112" s="5">
        <f>Volume!K38</f>
        <v>1.1005039832942764E-3</v>
      </c>
      <c r="C112" s="9">
        <f>ROA!F204</f>
        <v>0.2044</v>
      </c>
      <c r="D112" s="9">
        <f>Leverage!E216</f>
        <v>0.14230999999999999</v>
      </c>
      <c r="E112" s="9">
        <f>'Sales Growth'!E161</f>
        <v>3.3799999999999997E-2</v>
      </c>
      <c r="F112" s="4">
        <f>LN(3340000000000)</f>
        <v>28.836991922917157</v>
      </c>
      <c r="G112" s="4">
        <f>DPR!J36</f>
        <v>1.003099</v>
      </c>
    </row>
    <row r="113" spans="1:7">
      <c r="A113" s="12"/>
      <c r="B113" s="5">
        <f>Volume!L38</f>
        <v>4.5701992661722443E-4</v>
      </c>
      <c r="C113" s="9">
        <f>ROA!G204</f>
        <v>0.23519999999999999</v>
      </c>
      <c r="D113" s="9">
        <f>Leverage!F216</f>
        <v>9.0209999999999999E-2</v>
      </c>
      <c r="E113" s="9">
        <f>'Sales Growth'!F161</f>
        <v>7.0499999999999993E-2</v>
      </c>
      <c r="F113" s="4">
        <f>LN(3530000000000)</f>
        <v>28.892318986873754</v>
      </c>
      <c r="G113" s="4">
        <f>DPR!K36</f>
        <v>8.2130999999999996E-2</v>
      </c>
    </row>
    <row r="114" spans="1:7">
      <c r="A114" s="12" t="s">
        <v>4550</v>
      </c>
      <c r="B114" s="5">
        <f>Volume!I39</f>
        <v>1.4780321116554561E-3</v>
      </c>
      <c r="C114" s="9">
        <f>ROA!D220</f>
        <v>0.1134</v>
      </c>
      <c r="D114" s="9">
        <f>Leverage!C233</f>
        <v>0.3049</v>
      </c>
      <c r="E114" s="9">
        <f>'Sales Growth'!C176</f>
        <v>0.1177</v>
      </c>
      <c r="F114" s="4">
        <f>LN(19250000000000)</f>
        <v>30.588532176662341</v>
      </c>
      <c r="G114" s="4">
        <f>DPR!H37</f>
        <v>0.24820900000000001</v>
      </c>
    </row>
    <row r="115" spans="1:7">
      <c r="A115" s="12"/>
      <c r="B115" s="5">
        <f>Volume!J39</f>
        <v>1.2408639294257616E-3</v>
      </c>
      <c r="C115" s="9">
        <f>ROA!E220</f>
        <v>4.7600000000000003E-2</v>
      </c>
      <c r="D115" s="9">
        <f>Leverage!D233</f>
        <v>0.30409999999999998</v>
      </c>
      <c r="E115" s="9">
        <f>'Sales Growth'!D176</f>
        <v>0.10829999999999999</v>
      </c>
      <c r="F115" s="4">
        <f>LN(19960000000000)</f>
        <v>30.624751386811866</v>
      </c>
      <c r="G115" s="4">
        <f>DPR!I37</f>
        <v>0.24664299999999997</v>
      </c>
    </row>
    <row r="116" spans="1:7">
      <c r="A116" s="12"/>
      <c r="B116" s="5">
        <f>Volume!K39</f>
        <v>5.9367939375737123E-3</v>
      </c>
      <c r="C116" s="9">
        <f>ROA!F220</f>
        <v>0.1008</v>
      </c>
      <c r="D116" s="9">
        <f>Leverage!E233</f>
        <v>0.26440000000000002</v>
      </c>
      <c r="E116" s="9">
        <f>'Sales Growth'!E176</f>
        <v>9.7900000000000001E-2</v>
      </c>
      <c r="F116" s="4">
        <f>LN(2304000000000)</f>
        <v>28.465667858762192</v>
      </c>
      <c r="G116" s="4">
        <f>DPR!J37</f>
        <v>0.34585500000000002</v>
      </c>
    </row>
    <row r="117" spans="1:7">
      <c r="A117" s="12"/>
      <c r="B117" s="5">
        <f>Volume!L39</f>
        <v>6.0013036831401889E-3</v>
      </c>
      <c r="C117" s="9">
        <f>ROA!G220</f>
        <v>7.0999999999999994E-2</v>
      </c>
      <c r="D117" s="9">
        <f>Leverage!F233</f>
        <v>0.34499999999999997</v>
      </c>
      <c r="E117" s="9">
        <f>'Sales Growth'!F176</f>
        <v>9.8100000000000007E-2</v>
      </c>
      <c r="F117" s="4">
        <f>LN(26650000000000)</f>
        <v>30.913810266540402</v>
      </c>
      <c r="G117" s="4">
        <f>DPR!K37</f>
        <v>0.52201900000000001</v>
      </c>
    </row>
    <row r="118" spans="1:7">
      <c r="A118" s="12" t="s">
        <v>4551</v>
      </c>
      <c r="B118" s="5">
        <f>Volume!I40</f>
        <v>3.6603937896647529E-3</v>
      </c>
      <c r="C118" s="9">
        <f>ROA!D222</f>
        <v>4.19E-2</v>
      </c>
      <c r="D118" s="9">
        <f>Leverage!C235</f>
        <v>0.45839999999999997</v>
      </c>
      <c r="E118" s="9">
        <f>'Sales Growth'!C177</f>
        <v>0.23799999999999999</v>
      </c>
      <c r="F118" s="4">
        <f>LN(53500000000000)</f>
        <v>31.61070276983051</v>
      </c>
      <c r="G118" s="4">
        <f>DPR!H38</f>
        <v>0.3</v>
      </c>
    </row>
    <row r="119" spans="1:7">
      <c r="A119" s="12"/>
      <c r="B119" s="5">
        <f>Volume!J40</f>
        <v>1.0058045670471528E-3</v>
      </c>
      <c r="C119" s="9">
        <f>ROA!E222</f>
        <v>3.32E-2</v>
      </c>
      <c r="D119" s="9">
        <f>Leverage!D235</f>
        <v>0.40329999999999999</v>
      </c>
      <c r="E119" s="9">
        <f>'Sales Growth'!D177</f>
        <v>0.3795</v>
      </c>
      <c r="F119" s="4">
        <f>LN(79190000000000)</f>
        <v>32.002871144150866</v>
      </c>
      <c r="G119" s="4">
        <f>DPR!I38</f>
        <v>0.75</v>
      </c>
    </row>
    <row r="120" spans="1:7">
      <c r="A120" s="12"/>
      <c r="B120" s="5">
        <f>Volume!K40</f>
        <v>3.2562348768786823E-3</v>
      </c>
      <c r="C120" s="9">
        <f>ROA!F222</f>
        <v>2.7300000000000001E-2</v>
      </c>
      <c r="D120" s="9">
        <f>Leverage!E235</f>
        <v>0.39979999999999999</v>
      </c>
      <c r="E120" s="9">
        <f>'Sales Growth'!E177</f>
        <v>0.36330000000000001</v>
      </c>
      <c r="F120" s="4">
        <f>LN(82420000000000)</f>
        <v>32.042849241839221</v>
      </c>
      <c r="G120" s="4">
        <f>DPR!J38</f>
        <v>0.71255500000000005</v>
      </c>
    </row>
    <row r="121" spans="1:7">
      <c r="A121" s="12"/>
      <c r="B121" s="5">
        <f>Volume!L40</f>
        <v>2.2779865993396705E-2</v>
      </c>
      <c r="C121" s="9">
        <f>ROA!G222</f>
        <v>2.4199999999999999E-2</v>
      </c>
      <c r="D121" s="9">
        <f>Leverage!F235</f>
        <v>0.43059999999999998</v>
      </c>
      <c r="E121" s="9">
        <f>'Sales Growth'!F177</f>
        <v>0.32750000000000001</v>
      </c>
      <c r="F121" s="4">
        <f>LN(99680000000000)</f>
        <v>32.232986170967692</v>
      </c>
      <c r="G121" s="4">
        <f>DPR!K38</f>
        <v>0.90050699999999995</v>
      </c>
    </row>
    <row r="122" spans="1:7">
      <c r="A122" s="12" t="s">
        <v>4552</v>
      </c>
      <c r="B122" s="5">
        <f>Volume!I41</f>
        <v>1.2867903134364622E-3</v>
      </c>
      <c r="C122" s="9">
        <f>ROA!D224</f>
        <v>8.0100000000000005E-2</v>
      </c>
      <c r="D122" s="9">
        <f>Leverage!C237</f>
        <v>0.26150000000000001</v>
      </c>
      <c r="E122" s="9">
        <f>'Sales Growth'!C178</f>
        <v>0.1923</v>
      </c>
      <c r="F122" s="4">
        <f>LN(1050000000000)</f>
        <v>27.679811280097979</v>
      </c>
      <c r="G122" s="4">
        <f>DPR!H39</f>
        <v>0.65956899999999996</v>
      </c>
    </row>
    <row r="123" spans="1:7">
      <c r="A123" s="12"/>
      <c r="B123" s="5">
        <f>Volume!J41</f>
        <v>4.3195378094543881E-3</v>
      </c>
      <c r="C123" s="9">
        <f>ROA!E224</f>
        <v>7.4999999999999997E-2</v>
      </c>
      <c r="D123" s="9">
        <f>Leverage!D237</f>
        <v>0.21479999999999999</v>
      </c>
      <c r="E123" s="9">
        <f>'Sales Growth'!D178</f>
        <v>0.24840000000000001</v>
      </c>
      <c r="F123" s="4">
        <f>LN(1020000000000)</f>
        <v>27.650823743224727</v>
      </c>
      <c r="G123" s="4">
        <f>DPR!I39</f>
        <v>0.57554899999999998</v>
      </c>
    </row>
    <row r="124" spans="1:7">
      <c r="A124" s="12"/>
      <c r="B124" s="5">
        <f>Volume!K41</f>
        <v>1.0388488431737805E-2</v>
      </c>
      <c r="C124" s="9">
        <f>ROA!F224</f>
        <v>0.10680000000000001</v>
      </c>
      <c r="D124" s="9">
        <f>Leverage!E237</f>
        <v>0.15440000000000001</v>
      </c>
      <c r="E124" s="9">
        <f>'Sales Growth'!E178</f>
        <v>0.16930000000000001</v>
      </c>
      <c r="F124" s="4">
        <f>LN(1090000000000)</f>
        <v>27.717198812169599</v>
      </c>
      <c r="G124" s="4">
        <f>DPR!J39</f>
        <v>0.59087100000000004</v>
      </c>
    </row>
    <row r="125" spans="1:7">
      <c r="A125" s="12"/>
      <c r="B125" s="5">
        <f>Volume!L41</f>
        <v>3.1208660673307957E-4</v>
      </c>
      <c r="C125" s="9">
        <f>ROA!G224</f>
        <v>0.15</v>
      </c>
      <c r="D125" s="9">
        <f>Leverage!F237</f>
        <v>0.1154</v>
      </c>
      <c r="E125" s="9">
        <f>'Sales Growth'!F178</f>
        <v>0.1163</v>
      </c>
      <c r="F125" s="4">
        <f>LN(1150000000000)</f>
        <v>27.770783058303707</v>
      </c>
      <c r="G125" s="4">
        <f>DPR!K39</f>
        <v>0.65210299999999999</v>
      </c>
    </row>
    <row r="126" spans="1:7">
      <c r="A126" s="12" t="s">
        <v>4553</v>
      </c>
      <c r="B126" s="5">
        <f>Volume!I42</f>
        <v>6.3497055126753152E-4</v>
      </c>
      <c r="C126" s="9">
        <f>ROA!D227</f>
        <v>0.1258</v>
      </c>
      <c r="D126" s="9">
        <f>Leverage!C240</f>
        <v>9.7000000000000003E-3</v>
      </c>
      <c r="E126" s="9">
        <f>'Sales Growth'!C180</f>
        <v>0.22339999999999999</v>
      </c>
      <c r="F126" s="4">
        <f>LN(8480000000000)</f>
        <v>29.768731565732359</v>
      </c>
      <c r="G126" s="4">
        <f>DPR!H40</f>
        <v>0.33423999999999998</v>
      </c>
    </row>
    <row r="127" spans="1:7">
      <c r="A127" s="12"/>
      <c r="B127" s="5">
        <f>Volume!J42</f>
        <v>2.7802220627237673E-3</v>
      </c>
      <c r="C127" s="9">
        <f>ROA!E227</f>
        <v>0.1241</v>
      </c>
      <c r="D127" s="9">
        <f>Leverage!D240</f>
        <v>1.37E-2</v>
      </c>
      <c r="E127" s="9">
        <f>'Sales Growth'!D180</f>
        <v>0.17879999999999999</v>
      </c>
      <c r="F127" s="4">
        <f>LN(9470000000000)</f>
        <v>29.879150023126535</v>
      </c>
      <c r="G127" s="4">
        <f>DPR!I40</f>
        <v>0.273808</v>
      </c>
    </row>
    <row r="128" spans="1:7">
      <c r="A128" s="12"/>
      <c r="B128" s="5">
        <f>Volume!K42</f>
        <v>5.5259785626864963E-3</v>
      </c>
      <c r="C128" s="9">
        <f>ROA!F227</f>
        <v>0.1032</v>
      </c>
      <c r="D128" s="9">
        <f>Leverage!E240</f>
        <v>2.5000000000000001E-3</v>
      </c>
      <c r="E128" s="9">
        <f>'Sales Growth'!E180</f>
        <v>0.13370000000000001</v>
      </c>
      <c r="F128" s="4">
        <f>LN(10540000000000)</f>
        <v>29.986198659041765</v>
      </c>
      <c r="G128" s="4">
        <f>DPR!J40</f>
        <v>0.46802200000000005</v>
      </c>
    </row>
    <row r="129" spans="1:7">
      <c r="A129" s="12"/>
      <c r="B129" s="5">
        <f>Volume!L42</f>
        <v>1.41653462947868E-4</v>
      </c>
      <c r="C129" s="9">
        <f>ROA!G227</f>
        <v>9.3700000000000006E-2</v>
      </c>
      <c r="D129" s="9">
        <f>Leverage!F240</f>
        <v>1.9E-3</v>
      </c>
      <c r="E129" s="9">
        <f>'Sales Growth'!F180</f>
        <v>4.7300000000000002E-2</v>
      </c>
      <c r="F129" s="4">
        <f>LN(11160000000000)</f>
        <v>30.043357072881712</v>
      </c>
      <c r="G129" s="4">
        <f>DPR!K40</f>
        <v>0.44087600000000005</v>
      </c>
    </row>
    <row r="130" spans="1:7">
      <c r="A130" s="12" t="s">
        <v>4554</v>
      </c>
      <c r="B130" s="5">
        <f>Volume!I43</f>
        <v>4.2335002293676901E-3</v>
      </c>
      <c r="C130" s="9">
        <f>ROA!D231</f>
        <v>3.2800000000000003E-2</v>
      </c>
      <c r="D130" s="9">
        <f>Leverage!C244</f>
        <v>9.2799999999999994E-2</v>
      </c>
      <c r="E130" s="9">
        <f>'Sales Growth'!C182</f>
        <v>3.1E-2</v>
      </c>
      <c r="F130" s="4">
        <f>LN(639090000000)</f>
        <v>27.183311126476632</v>
      </c>
      <c r="G130" s="4">
        <f>DPR!H41</f>
        <v>0.26040100000000005</v>
      </c>
    </row>
    <row r="131" spans="1:7">
      <c r="A131" s="12"/>
      <c r="B131" s="5">
        <f>Volume!J43</f>
        <v>3.9208152158996899E-3</v>
      </c>
      <c r="C131" s="9">
        <f>ROA!E231</f>
        <v>4.7E-2</v>
      </c>
      <c r="D131" s="9">
        <f>Leverage!D244</f>
        <v>0.1052</v>
      </c>
      <c r="E131" s="9">
        <f>'Sales Growth'!D182</f>
        <v>4.1300000000000003E-2</v>
      </c>
      <c r="F131" s="4">
        <f>LN(1240000000000)</f>
        <v>27.846132495545493</v>
      </c>
      <c r="G131" s="4">
        <f>DPR!I41</f>
        <v>0.16467799999999999</v>
      </c>
    </row>
    <row r="132" spans="1:7">
      <c r="A132" s="12"/>
      <c r="B132" s="5">
        <f>Volume!K43</f>
        <v>2.9303192719830305E-3</v>
      </c>
      <c r="C132" s="9">
        <f>ROA!F231</f>
        <v>3.2099999999999997E-2</v>
      </c>
      <c r="D132" s="9">
        <f>Leverage!E244</f>
        <v>2.3099999999999999E-2</v>
      </c>
      <c r="E132" s="9">
        <f>'Sales Growth'!E182</f>
        <v>4.3400000000000001E-2</v>
      </c>
      <c r="F132" s="4">
        <f>LN(1300000000000)</f>
        <v>27.89338538039604</v>
      </c>
      <c r="G132" s="4">
        <f>DPR!J41</f>
        <v>0.17625099999999999</v>
      </c>
    </row>
    <row r="133" spans="1:7">
      <c r="A133" s="12"/>
      <c r="B133" s="5">
        <f>Volume!L43</f>
        <v>3.479723504110975E-5</v>
      </c>
      <c r="C133" s="9">
        <f>ROA!G231</f>
        <v>2.9899999999999999E-2</v>
      </c>
      <c r="D133" s="9">
        <f>Leverage!F244</f>
        <v>0.1168</v>
      </c>
      <c r="E133" s="9">
        <f>'Sales Growth'!F182</f>
        <v>5.0200000000000002E-2</v>
      </c>
      <c r="F133" s="4">
        <f>LN(1280000000000)</f>
        <v>27.877881193860073</v>
      </c>
      <c r="G133" s="4">
        <f>DPR!K41</f>
        <v>0.19914300000000001</v>
      </c>
    </row>
    <row r="134" spans="1:7">
      <c r="A134" s="12" t="s">
        <v>4555</v>
      </c>
      <c r="B134" s="5">
        <f>Volume!I44</f>
        <v>3.8790653812735353E-4</v>
      </c>
      <c r="C134" s="9">
        <f>ROA!D232</f>
        <v>0.159</v>
      </c>
      <c r="D134" s="9">
        <f>Leverage!C245</f>
        <v>1.8599999999999998E-2</v>
      </c>
      <c r="E134" s="9">
        <f>'Sales Growth'!C183</f>
        <v>0.12429999999999999</v>
      </c>
      <c r="F134" s="4">
        <f>LN(15230000000000)</f>
        <v>30.354288282835618</v>
      </c>
      <c r="G134" s="4">
        <f>DPR!H42</f>
        <v>0.44842200000000004</v>
      </c>
    </row>
    <row r="135" spans="1:7">
      <c r="A135" s="12"/>
      <c r="B135" s="5">
        <f>Volume!J44</f>
        <v>1.1223893927330615E-3</v>
      </c>
      <c r="C135" s="9">
        <f>ROA!E232</f>
        <v>0.151</v>
      </c>
      <c r="D135" s="9">
        <f>Leverage!D245</f>
        <v>1.9199999999999998E-2</v>
      </c>
      <c r="E135" s="9">
        <f>'Sales Growth'!D183</f>
        <v>8.2699999999999996E-2</v>
      </c>
      <c r="F135" s="4">
        <f>LN(16620000000000)</f>
        <v>30.441627905355851</v>
      </c>
      <c r="G135" s="4">
        <f>DPR!I42</f>
        <v>0.48754999999999998</v>
      </c>
    </row>
    <row r="136" spans="1:7">
      <c r="A136" s="12"/>
      <c r="B136" s="5">
        <f>Volume!K44</f>
        <v>1.4121988987537543E-3</v>
      </c>
      <c r="C136" s="9">
        <f>ROA!F232</f>
        <v>0.1414</v>
      </c>
      <c r="D136" s="9">
        <f>Leverage!E245</f>
        <v>1.9699999999999999E-2</v>
      </c>
      <c r="E136" s="9">
        <f>'Sales Growth'!E183</f>
        <v>5.6899999999999999E-2</v>
      </c>
      <c r="F136" s="4">
        <f>LN(18150000000000)</f>
        <v>30.529691676639409</v>
      </c>
      <c r="G136" s="4">
        <f>DPR!J42</f>
        <v>0.49600699999999998</v>
      </c>
    </row>
    <row r="137" spans="1:7">
      <c r="A137" s="12"/>
      <c r="B137" s="5">
        <f>Volume!L44</f>
        <v>2.7482107624195945E-3</v>
      </c>
      <c r="C137" s="9">
        <f>ROA!G232</f>
        <v>0.1305</v>
      </c>
      <c r="D137" s="9">
        <f>Leverage!F245</f>
        <v>4.0300000000000002E-2</v>
      </c>
      <c r="E137" s="9">
        <f>'Sales Growth'!F183</f>
        <v>5.4600000000000003E-2</v>
      </c>
      <c r="F137" s="4">
        <f>LN(20260000000000)</f>
        <v>30.639669614749085</v>
      </c>
      <c r="G137" s="4">
        <f>DPR!K42</f>
        <v>0.37398899999999996</v>
      </c>
    </row>
    <row r="138" spans="1:7">
      <c r="A138" s="12" t="s">
        <v>4556</v>
      </c>
      <c r="B138" s="5">
        <f>Volume!I45</f>
        <v>4.0971097991843314E-2</v>
      </c>
      <c r="C138" s="9">
        <f>ROA!D242</f>
        <v>0.1953</v>
      </c>
      <c r="D138" s="9">
        <f>Leverage!C255</f>
        <v>7.6200000000000004E-2</v>
      </c>
      <c r="E138" s="9">
        <f>'Sales Growth'!C189</f>
        <v>9.3100000000000002E-2</v>
      </c>
      <c r="F138" s="4">
        <f>LN(1870000000000)</f>
        <v>28.256959546795045</v>
      </c>
      <c r="G138" s="4">
        <f>DPR!H43</f>
        <v>0.17604300000000001</v>
      </c>
    </row>
    <row r="139" spans="1:7">
      <c r="A139" s="12"/>
      <c r="B139" s="5">
        <f>Volume!J45</f>
        <v>1.6692660464372035E-3</v>
      </c>
      <c r="C139" s="9">
        <f>ROA!E242</f>
        <v>0.14799999999999999</v>
      </c>
      <c r="D139" s="9">
        <f>Leverage!D255</f>
        <v>2.9100000000000001E-2</v>
      </c>
      <c r="E139" s="9">
        <f>'Sales Growth'!D189</f>
        <v>7.2900000000000006E-2</v>
      </c>
      <c r="F139" s="4">
        <f>LN(3010000000000)</f>
        <v>28.732961194689331</v>
      </c>
      <c r="G139" s="4">
        <f>DPR!I43</f>
        <v>0.14075799999999999</v>
      </c>
    </row>
    <row r="140" spans="1:7">
      <c r="A140" s="12"/>
      <c r="B140" s="5">
        <f>Volume!K45</f>
        <v>2.7374975430181712E-2</v>
      </c>
      <c r="C140" s="9">
        <f>ROA!F242</f>
        <v>8.0100000000000005E-2</v>
      </c>
      <c r="D140" s="9">
        <f>Leverage!E255</f>
        <v>6.9699999999999998E-2</v>
      </c>
      <c r="E140" s="9">
        <f>'Sales Growth'!E189</f>
        <v>0.11269999999999999</v>
      </c>
      <c r="F140" s="4">
        <f>LN(3240000000000)</f>
        <v>28.806594445732784</v>
      </c>
      <c r="G140" s="4">
        <f>DPR!J43</f>
        <v>0.19073399999999999</v>
      </c>
    </row>
    <row r="141" spans="1:7">
      <c r="A141" s="12"/>
      <c r="B141" s="5">
        <f>Volume!L45</f>
        <v>5.086816650385561E-4</v>
      </c>
      <c r="C141" s="9">
        <f>ROA!G242</f>
        <v>0.1229</v>
      </c>
      <c r="D141" s="9">
        <f>Leverage!F255</f>
        <v>3.7400000000000003E-2</v>
      </c>
      <c r="E141" s="9">
        <f>'Sales Growth'!F189</f>
        <v>0.1396</v>
      </c>
      <c r="F141" s="4">
        <f>LN(3560000000000)</f>
        <v>28.900781660792486</v>
      </c>
      <c r="G141" s="4">
        <f>DPR!K43</f>
        <v>0.19242100000000001</v>
      </c>
    </row>
    <row r="142" spans="1:7">
      <c r="A142" s="12" t="s">
        <v>4557</v>
      </c>
      <c r="B142" s="5">
        <f>Volume!I46</f>
        <v>2.0351851059844765E-3</v>
      </c>
      <c r="C142" s="9">
        <f>ROA!D247</f>
        <v>1.09E-2</v>
      </c>
      <c r="D142" s="9">
        <f>Leverage!C260</f>
        <v>0.4219</v>
      </c>
      <c r="E142" s="9">
        <f>'Sales Growth'!C194</f>
        <v>3.3500000000000002E-2</v>
      </c>
      <c r="F142" s="4">
        <f>LN(5660000000000)</f>
        <v>29.36444500814364</v>
      </c>
      <c r="G142" s="4">
        <f>DPR!H44</f>
        <v>0.302039</v>
      </c>
    </row>
    <row r="143" spans="1:7">
      <c r="A143" s="12"/>
      <c r="B143" s="5">
        <f>Volume!J46</f>
        <v>8.7011537139916026E-5</v>
      </c>
      <c r="C143" s="9">
        <f>ROA!E247</f>
        <v>2.6200000000000001E-2</v>
      </c>
      <c r="D143" s="9">
        <f>Leverage!D260</f>
        <v>0.3175</v>
      </c>
      <c r="E143" s="9">
        <f>'Sales Growth'!D194</f>
        <v>1.3599999999999999E-2</v>
      </c>
      <c r="F143" s="4">
        <f>LN(5770000000000)</f>
        <v>29.383693196448558</v>
      </c>
      <c r="G143" s="4">
        <f>DPR!I44</f>
        <v>0.30273800000000001</v>
      </c>
    </row>
    <row r="144" spans="1:7">
      <c r="A144" s="12"/>
      <c r="B144" s="5">
        <f>Volume!K46</f>
        <v>5.5598897460590411E-4</v>
      </c>
      <c r="C144" s="9">
        <f>ROA!F247</f>
        <v>3.3099999999999997E-2</v>
      </c>
      <c r="D144" s="9">
        <f>Leverage!E260</f>
        <v>0.40770000000000001</v>
      </c>
      <c r="E144" s="9">
        <f>'Sales Growth'!E194</f>
        <v>4.36E-2</v>
      </c>
      <c r="F144" s="4">
        <f>LN(6320000000000)</f>
        <v>29.474740324087314</v>
      </c>
      <c r="G144" s="4">
        <f>DPR!J44</f>
        <v>0.23011300000000001</v>
      </c>
    </row>
    <row r="145" spans="1:7">
      <c r="A145" s="12"/>
      <c r="B145" s="5">
        <f>Volume!L46</f>
        <v>1.2674188986109124E-3</v>
      </c>
      <c r="C145" s="9">
        <f>ROA!G247</f>
        <v>2.9600000000000001E-2</v>
      </c>
      <c r="D145" s="9">
        <f>Leverage!F260</f>
        <v>0.31140000000000001</v>
      </c>
      <c r="E145" s="9">
        <f>'Sales Growth'!F194</f>
        <v>2.29E-2</v>
      </c>
      <c r="F145" s="4">
        <f>LN(5860000000000)</f>
        <v>29.399170719517471</v>
      </c>
      <c r="G145" s="4">
        <f>DPR!K44</f>
        <v>0.46807200000000004</v>
      </c>
    </row>
    <row r="146" spans="1:7">
      <c r="A146" s="12" t="s">
        <v>4558</v>
      </c>
      <c r="B146" s="5">
        <f>Volume!I47</f>
        <v>1.1297495480739134E-2</v>
      </c>
      <c r="C146" s="9">
        <f>ROA!D254</f>
        <v>2.0299999999999999E-2</v>
      </c>
      <c r="D146" s="9">
        <f>Leverage!C267</f>
        <v>0.29920000000000002</v>
      </c>
      <c r="E146" s="9">
        <f>'Sales Growth'!C200</f>
        <v>0.25030000000000002</v>
      </c>
      <c r="F146" s="4">
        <f>LN(45600000000000)</f>
        <v>31.450928832448888</v>
      </c>
      <c r="G146" s="4">
        <f>DPR!H45</f>
        <v>4.3133999999999999E-2</v>
      </c>
    </row>
    <row r="147" spans="1:7">
      <c r="A147" s="12"/>
      <c r="B147" s="5">
        <f>Volume!J47</f>
        <v>9.1158256184428873E-4</v>
      </c>
      <c r="C147" s="9">
        <f>ROA!E254</f>
        <v>1.2E-2</v>
      </c>
      <c r="D147" s="9">
        <f>Leverage!D267</f>
        <v>0.29959999999999998</v>
      </c>
      <c r="E147" s="9">
        <f>'Sales Growth'!D200</f>
        <v>0.14899999999999999</v>
      </c>
      <c r="F147" s="4">
        <f>LN(56770000000000)</f>
        <v>31.670029133111182</v>
      </c>
      <c r="G147" s="4">
        <f>DPR!I45</f>
        <v>5.4742999999999993E-2</v>
      </c>
    </row>
    <row r="148" spans="1:7">
      <c r="A148" s="12"/>
      <c r="B148" s="5">
        <f>Volume!K47</f>
        <v>1.4867222151490717E-3</v>
      </c>
      <c r="C148" s="9">
        <f>ROA!F254</f>
        <v>1.3599999999999999E-2</v>
      </c>
      <c r="D148" s="9">
        <f>Leverage!E267</f>
        <v>0.24329999999999999</v>
      </c>
      <c r="E148" s="9">
        <f>'Sales Growth'!E200</f>
        <v>0.1502</v>
      </c>
      <c r="F148" s="4">
        <f>LN(49080000000000)</f>
        <v>31.524472735771258</v>
      </c>
      <c r="G148" s="4">
        <f>DPR!J45</f>
        <v>5.7527999999999996E-2</v>
      </c>
    </row>
    <row r="149" spans="1:7">
      <c r="A149" s="12"/>
      <c r="B149" s="5">
        <f>Volume!L47</f>
        <v>8.6715248740145776E-5</v>
      </c>
      <c r="C149" s="9">
        <f>ROA!G254</f>
        <v>-3.8100000000000002E-2</v>
      </c>
      <c r="D149" s="9">
        <f>Leverage!F267</f>
        <v>0.30299999999999999</v>
      </c>
      <c r="E149" s="9">
        <f>'Sales Growth'!F200</f>
        <v>2.7699999999999999E-2</v>
      </c>
      <c r="F149" s="4">
        <f>LN(55080000000000)</f>
        <v>31.639807789789003</v>
      </c>
      <c r="G149" s="4">
        <f>DPR!K45</f>
        <v>7.5650999999999996E-2</v>
      </c>
    </row>
    <row r="150" spans="1:7">
      <c r="A150" s="12" t="s">
        <v>4559</v>
      </c>
      <c r="B150" s="5">
        <f>Volume!I48</f>
        <v>1.6090791733412487E-3</v>
      </c>
      <c r="C150" s="9">
        <f>ROA!D262</f>
        <v>5.4300000000000001E-2</v>
      </c>
      <c r="D150" s="9">
        <f>Leverage!C275</f>
        <v>0.43109999999999998</v>
      </c>
      <c r="E150" s="9">
        <f>'Sales Growth'!C204</f>
        <v>0.15090000000000001</v>
      </c>
      <c r="F150" s="4">
        <f>LN(3830000000000)</f>
        <v>28.973885919121102</v>
      </c>
      <c r="G150">
        <f>DPR!H46</f>
        <v>0.40568000000000004</v>
      </c>
    </row>
    <row r="151" spans="1:7">
      <c r="A151" s="12"/>
      <c r="B151" s="5">
        <f>Volume!J48</f>
        <v>2.6994420342238055E-3</v>
      </c>
      <c r="C151" s="9">
        <f>ROA!E262</f>
        <v>1.0999999999999999E-2</v>
      </c>
      <c r="D151" s="9">
        <f>Leverage!D275</f>
        <v>0.45979999999999999</v>
      </c>
      <c r="E151" s="9">
        <f>'Sales Growth'!D204</f>
        <v>0.10440000000000001</v>
      </c>
      <c r="F151" s="4">
        <f>LN(4010000000000)</f>
        <v>29.019812357247027</v>
      </c>
      <c r="G151">
        <f>DPR!I46</f>
        <v>0.72909999999999997</v>
      </c>
    </row>
    <row r="152" spans="1:7">
      <c r="A152" s="12"/>
      <c r="B152" s="5">
        <f>Volume!K48</f>
        <v>5.7058794370456129E-3</v>
      </c>
      <c r="C152" s="9">
        <f>ROA!F262</f>
        <v>6.83E-2</v>
      </c>
      <c r="D152" s="9">
        <f>Leverage!E275</f>
        <v>0.39169999999999999</v>
      </c>
      <c r="E152" s="9">
        <f>'Sales Growth'!E204</f>
        <v>0.10050000000000001</v>
      </c>
      <c r="F152" s="4">
        <f>LN(4340000000000)</f>
        <v>29.098895464040861</v>
      </c>
      <c r="G152">
        <f>DPR!J46</f>
        <v>0.74902200000000008</v>
      </c>
    </row>
    <row r="153" spans="1:7">
      <c r="A153" s="12"/>
      <c r="B153" s="5">
        <f>Volume!L48</f>
        <v>3.7262886119481553E-3</v>
      </c>
      <c r="C153" s="9">
        <f>ROA!G262</f>
        <v>3.39E-2</v>
      </c>
      <c r="D153" s="9">
        <f>Leverage!F275</f>
        <v>0.4194</v>
      </c>
      <c r="E153" s="9">
        <f>'Sales Growth'!F204</f>
        <v>0.1081</v>
      </c>
      <c r="F153" s="4">
        <f>LN(4650000000000)</f>
        <v>29.167888335527813</v>
      </c>
      <c r="G153">
        <f>DPR!K46</f>
        <v>0.74786300000000006</v>
      </c>
    </row>
    <row r="154" spans="1:7">
      <c r="A154" s="12" t="s">
        <v>4560</v>
      </c>
      <c r="B154" s="5">
        <f>Volume!I49</f>
        <v>5.9485271069380542E-3</v>
      </c>
      <c r="C154" s="9">
        <f>ROA!D270</f>
        <v>0.4617</v>
      </c>
      <c r="D154" s="9">
        <f>Leverage!C283</f>
        <v>0.1191</v>
      </c>
      <c r="E154" s="9">
        <f>'Sales Growth'!C208</f>
        <v>0.16120000000000001</v>
      </c>
      <c r="F154" s="4">
        <f>LN(4860000000000)</f>
        <v>29.212059553840952</v>
      </c>
      <c r="G154" s="4">
        <f>DPR!H47</f>
        <v>0.70000099999999998</v>
      </c>
    </row>
    <row r="155" spans="1:7">
      <c r="A155" s="12"/>
      <c r="B155" s="5">
        <f>Volume!J49</f>
        <v>2.9406180381582915E-3</v>
      </c>
      <c r="C155" s="9">
        <f>ROA!E270</f>
        <v>0.37080000000000002</v>
      </c>
      <c r="D155" s="9">
        <f>Leverage!D283</f>
        <v>0.27639999999999998</v>
      </c>
      <c r="E155" s="9">
        <f>'Sales Growth'!D208</f>
        <v>0.12479999999999999</v>
      </c>
      <c r="F155" s="4">
        <f>LN(5430000000000)</f>
        <v>29.322960249874392</v>
      </c>
      <c r="G155" s="4">
        <f>DPR!I47</f>
        <v>0.9</v>
      </c>
    </row>
    <row r="156" spans="1:7">
      <c r="A156" s="12"/>
      <c r="B156" s="5">
        <f>Volume!K49</f>
        <v>5.7466540150736406E-3</v>
      </c>
      <c r="C156" s="9">
        <f>ROA!F270</f>
        <v>0.2097</v>
      </c>
      <c r="D156" s="9">
        <f>Leverage!E283</f>
        <v>0.2329</v>
      </c>
      <c r="E156" s="9">
        <f>'Sales Growth'!E208</f>
        <v>8.8700000000000001E-2</v>
      </c>
      <c r="F156" s="4">
        <f>LN(5040000000000)</f>
        <v>29.248427198011825</v>
      </c>
      <c r="G156" s="4">
        <f>DPR!J47</f>
        <v>0.89998999999999996</v>
      </c>
    </row>
    <row r="157" spans="1:7">
      <c r="A157" s="12"/>
      <c r="B157" s="5">
        <f>Volume!L49</f>
        <v>1.8464658802531696E-2</v>
      </c>
      <c r="C157" s="9">
        <f>ROA!G270</f>
        <v>0.27700000000000002</v>
      </c>
      <c r="D157" s="9">
        <f>Leverage!F283</f>
        <v>0.23649999999999999</v>
      </c>
      <c r="E157" s="9">
        <f>'Sales Growth'!F208</f>
        <v>5.4600000000000003E-2</v>
      </c>
      <c r="F157" s="4">
        <f>LN(4830000000000)</f>
        <v>29.205867583593029</v>
      </c>
      <c r="G157" s="4">
        <f>DPR!K47</f>
        <v>0.81779499999999994</v>
      </c>
    </row>
    <row r="158" spans="1:7">
      <c r="A158" s="12" t="s">
        <v>4561</v>
      </c>
      <c r="B158" s="5">
        <f>Volume!I50</f>
        <v>2.616449140285775E-3</v>
      </c>
      <c r="C158" s="9">
        <f>ROA!D272</f>
        <v>0.11169999999999999</v>
      </c>
      <c r="D158" s="9">
        <f>Leverage!C285</f>
        <v>0.29609999999999997</v>
      </c>
      <c r="E158" s="9">
        <f>'Sales Growth'!C210</f>
        <v>0.14369999999999999</v>
      </c>
      <c r="F158" s="4">
        <f>LN(12920000000000)</f>
        <v>30.189797614283005</v>
      </c>
      <c r="G158" s="4">
        <f>DPR!H48</f>
        <v>0.34988200000000003</v>
      </c>
    </row>
    <row r="159" spans="1:7">
      <c r="A159" s="12"/>
      <c r="B159" s="5">
        <f>Volume!J50</f>
        <v>4.3275328544443721E-4</v>
      </c>
      <c r="C159" s="9">
        <f>ROA!E272</f>
        <v>0.11459999999999999</v>
      </c>
      <c r="D159" s="9">
        <f>Leverage!D285</f>
        <v>0.29859999999999998</v>
      </c>
      <c r="E159" s="9">
        <f>'Sales Growth'!D210</f>
        <v>0.1482</v>
      </c>
      <c r="F159" s="4">
        <f>LN(14920000000000)</f>
        <v>30.333723710704163</v>
      </c>
      <c r="G159" s="4">
        <f>DPR!I48</f>
        <v>0.14906900000000001</v>
      </c>
    </row>
    <row r="160" spans="1:7">
      <c r="A160" s="12"/>
      <c r="B160" s="5">
        <f>Volume!K50</f>
        <v>8.0856534911986954E-4</v>
      </c>
      <c r="C160" s="9">
        <f>ROA!F272</f>
        <v>0.1056</v>
      </c>
      <c r="D160" s="9">
        <f>Leverage!E285</f>
        <v>0.34150000000000003</v>
      </c>
      <c r="E160" s="9">
        <f>'Sales Growth'!E210</f>
        <v>0.1507</v>
      </c>
      <c r="F160" s="4">
        <f>LN(17590000000000)</f>
        <v>30.498351674678016</v>
      </c>
      <c r="G160" s="4">
        <f>DPR!J48</f>
        <v>0.85626599999999997</v>
      </c>
    </row>
    <row r="161" spans="1:7">
      <c r="A161" s="12"/>
      <c r="B161" s="5">
        <f>Volume!L50</f>
        <v>4.014356134714845E-4</v>
      </c>
      <c r="C161" s="9">
        <f>ROA!G272</f>
        <v>0.10920000000000001</v>
      </c>
      <c r="D161" s="9">
        <f>Leverage!F285</f>
        <v>0.30509999999999998</v>
      </c>
      <c r="E161" s="9">
        <f>'Sales Growth'!F210</f>
        <v>0.1229</v>
      </c>
      <c r="F161" s="4">
        <f>LN(19040000000000)</f>
        <v>30.577563145291766</v>
      </c>
      <c r="G161" s="4">
        <f>DPR!K48</f>
        <v>0.56714500000000001</v>
      </c>
    </row>
    <row r="162" spans="1:7">
      <c r="A162" s="12" t="s">
        <v>4562</v>
      </c>
      <c r="B162" s="5">
        <f>Volume!I51</f>
        <v>3.3107555411680746E-4</v>
      </c>
      <c r="C162" s="9">
        <f>ROA!D280</f>
        <v>0.22209999999999999</v>
      </c>
      <c r="D162" s="9">
        <f>Leverage!C293</f>
        <v>0.3019</v>
      </c>
      <c r="E162" s="9">
        <f>'Sales Growth'!C213</f>
        <v>4.2200000000000001E-2</v>
      </c>
      <c r="F162" s="4">
        <f>LN(743930000000)</f>
        <v>27.335212781331631</v>
      </c>
      <c r="G162" s="4">
        <f>DPR!H49</f>
        <v>0.78539399999999993</v>
      </c>
    </row>
    <row r="163" spans="1:7">
      <c r="A163" s="12"/>
      <c r="B163" s="5">
        <f>Volume!J51</f>
        <v>4.5146666470473744E-5</v>
      </c>
      <c r="C163" s="9">
        <f>ROA!E280</f>
        <v>0.18190000000000001</v>
      </c>
      <c r="D163" s="9">
        <f>Leverage!D293</f>
        <v>0.25480000000000003</v>
      </c>
      <c r="E163" s="9">
        <f>'Sales Growth'!D213</f>
        <v>-4.7800000000000002E-2</v>
      </c>
      <c r="F163" s="4">
        <f>LN(847010000000)</f>
        <v>27.464978337904213</v>
      </c>
      <c r="G163" s="4">
        <f>DPR!I49</f>
        <v>0.744085</v>
      </c>
    </row>
    <row r="164" spans="1:7">
      <c r="A164" s="12"/>
      <c r="B164" s="5">
        <f>Volume!K51</f>
        <v>3.6919940580298531E-3</v>
      </c>
      <c r="C164" s="9">
        <f>ROA!F280</f>
        <v>1.1026</v>
      </c>
      <c r="D164" s="9">
        <f>Leverage!E293</f>
        <v>0.3155</v>
      </c>
      <c r="E164" s="9">
        <f>'Sales Growth'!E213</f>
        <v>-9.4299999999999995E-2</v>
      </c>
      <c r="F164" s="4">
        <f>LN(1260000000000)</f>
        <v>27.862132836891934</v>
      </c>
      <c r="G164" s="4">
        <f>DPR!J49</f>
        <v>0.74290200000000006</v>
      </c>
    </row>
    <row r="165" spans="1:7">
      <c r="A165" s="12"/>
      <c r="B165" s="5">
        <f>Volume!L51</f>
        <v>6.1533234300497545E-4</v>
      </c>
      <c r="C165" s="9">
        <f>ROA!G280</f>
        <v>7.2300000000000003E-2</v>
      </c>
      <c r="D165" s="9">
        <f>Leverage!F293</f>
        <v>0.30409999999999998</v>
      </c>
      <c r="E165" s="9">
        <f>'Sales Growth'!F213</f>
        <v>4.4000000000000003E-3</v>
      </c>
      <c r="F165" s="4">
        <f>LN(901060000000)</f>
        <v>27.52683768501236</v>
      </c>
      <c r="G165" s="4">
        <f>DPR!K49</f>
        <v>0.37154999999999999</v>
      </c>
    </row>
    <row r="166" spans="1:7">
      <c r="A166" s="12" t="s">
        <v>4563</v>
      </c>
      <c r="B166" s="5">
        <f>Volume!I52</f>
        <v>1.3305303271198666E-4</v>
      </c>
      <c r="C166" s="9">
        <f>ROA!D295</f>
        <v>2.4500000000000001E-2</v>
      </c>
      <c r="D166" s="9">
        <f>Leverage!C308</f>
        <v>0.46829999999999999</v>
      </c>
      <c r="E166" s="9">
        <f>'Sales Growth'!C223</f>
        <v>0.15079999999999999</v>
      </c>
      <c r="F166" s="4">
        <f>LN(14930000000000)</f>
        <v>30.334393727479647</v>
      </c>
      <c r="G166" s="4">
        <f>DPR!H50</f>
        <v>0.39562900000000001</v>
      </c>
    </row>
    <row r="167" spans="1:7">
      <c r="A167" s="12"/>
      <c r="B167" s="5">
        <f>Volume!J52</f>
        <v>2.617528202261818E-3</v>
      </c>
      <c r="C167" s="9">
        <f>ROA!E295</f>
        <v>3.1199999999999999E-2</v>
      </c>
      <c r="D167" s="9">
        <f>Leverage!D308</f>
        <v>0.32150000000000001</v>
      </c>
      <c r="E167" s="9">
        <f>'Sales Growth'!D223</f>
        <v>6.7900000000000002E-2</v>
      </c>
      <c r="F167" s="4">
        <f>LN(9.74E+112)</f>
        <v>260.16577153298755</v>
      </c>
      <c r="G167" s="4">
        <f>DPR!I50</f>
        <v>0.50061699999999998</v>
      </c>
    </row>
    <row r="168" spans="1:7">
      <c r="A168" s="12"/>
      <c r="B168" s="5">
        <f>Volume!K52</f>
        <v>1.0213382964049311E-3</v>
      </c>
      <c r="C168" s="9">
        <f>ROA!F295</f>
        <v>0.33760000000000001</v>
      </c>
      <c r="D168" s="9">
        <f>Leverage!E308</f>
        <v>2.9000000000000001E-2</v>
      </c>
      <c r="E168" s="9">
        <f>'Sales Growth'!E223</f>
        <v>3.2800000000000003E-2</v>
      </c>
      <c r="F168" s="4">
        <f>LN(11940000000000)</f>
        <v>30.110915223893006</v>
      </c>
      <c r="G168" s="4">
        <f>DPR!J50</f>
        <v>0.501332</v>
      </c>
    </row>
    <row r="169" spans="1:7">
      <c r="A169" s="12"/>
      <c r="B169" s="5">
        <f>Volume!L52</f>
        <v>8.7064903955830187E-4</v>
      </c>
      <c r="C169" s="9">
        <f>ROA!G295</f>
        <v>4.0300000000000002E-2</v>
      </c>
      <c r="D169" s="9">
        <f>Leverage!F308</f>
        <v>4.24E-2</v>
      </c>
      <c r="E169" s="9">
        <f>'Sales Growth'!F223</f>
        <v>9.4999999999999998E-3</v>
      </c>
      <c r="F169" s="4">
        <f>LN(9560000000000)</f>
        <v>29.888608842991857</v>
      </c>
      <c r="G169" s="4">
        <f>DPR!K50</f>
        <v>0.30076700000000001</v>
      </c>
    </row>
    <row r="170" spans="1:7">
      <c r="A170" s="12" t="s">
        <v>4564</v>
      </c>
      <c r="B170" s="5">
        <f>Volume!I53</f>
        <v>4.6148843974150467E-6</v>
      </c>
      <c r="C170" s="9">
        <f>ROA!D307</f>
        <v>2.58E-2</v>
      </c>
      <c r="D170" s="9">
        <f>Leverage!C319</f>
        <v>0.1857</v>
      </c>
      <c r="E170" s="9">
        <f>'Sales Growth'!C233</f>
        <v>3.9699999999999999E-2</v>
      </c>
      <c r="F170" s="4">
        <f>LN(847720000000)</f>
        <v>27.465816229534784</v>
      </c>
      <c r="G170" s="4">
        <f>DPR!H51</f>
        <v>0.52971099999999993</v>
      </c>
    </row>
    <row r="171" spans="1:7">
      <c r="A171" s="12"/>
      <c r="B171" s="5">
        <f>Volume!J53</f>
        <v>2.9919833843240886E-4</v>
      </c>
      <c r="C171" s="9">
        <f>ROA!E307</f>
        <v>7.7899999999999997E-2</v>
      </c>
      <c r="D171" s="9">
        <f>Leverage!D319</f>
        <v>0.16120000000000001</v>
      </c>
      <c r="E171" s="9">
        <f>'Sales Growth'!D233</f>
        <v>5.4999999999999997E-3</v>
      </c>
      <c r="F171" s="4">
        <f>LN(863180000000)</f>
        <v>27.483889081020433</v>
      </c>
      <c r="G171" s="4">
        <f>DPR!I51</f>
        <v>0.60124900000000003</v>
      </c>
    </row>
    <row r="172" spans="1:7">
      <c r="A172" s="12"/>
      <c r="B172" s="5">
        <f>Volume!K53</f>
        <v>1.1191094663731487E-4</v>
      </c>
      <c r="C172" s="9">
        <f>ROA!F307</f>
        <v>3.6799999999999999E-2</v>
      </c>
      <c r="D172" s="9">
        <f>Leverage!E319</f>
        <v>0.2296</v>
      </c>
      <c r="E172" s="9">
        <f>'Sales Growth'!E233</f>
        <v>1.7999999999999999E-2</v>
      </c>
      <c r="F172" s="4">
        <f>LN(928830000000)</f>
        <v>27.55719156655007</v>
      </c>
      <c r="G172" s="4">
        <f>DPR!J51</f>
        <v>0.60491000000000006</v>
      </c>
    </row>
    <row r="173" spans="1:7">
      <c r="A173" s="12"/>
      <c r="B173" s="5">
        <f>Volume!L53</f>
        <v>2.8843027483844039E-5</v>
      </c>
      <c r="C173" s="9">
        <f>ROA!G307</f>
        <v>3.7600000000000001E-2</v>
      </c>
      <c r="D173" s="9">
        <f>Leverage!F319</f>
        <v>0.24940000000000001</v>
      </c>
      <c r="E173" s="9">
        <f>'Sales Growth'!F233</f>
        <v>6.9400000000000003E-2</v>
      </c>
      <c r="F173" s="4">
        <f>LN(1040000000000)</f>
        <v>27.670241829081828</v>
      </c>
      <c r="G173" s="4">
        <f>DPR!K51</f>
        <v>0.68605699999999992</v>
      </c>
    </row>
    <row r="174" spans="1:7">
      <c r="A174" s="12" t="s">
        <v>4565</v>
      </c>
      <c r="B174" s="5">
        <f>Volume!I54</f>
        <v>1.5833460627329866E-2</v>
      </c>
      <c r="C174" s="9">
        <f>ROA!D320</f>
        <v>4.9000000000000002E-2</v>
      </c>
      <c r="D174" s="9">
        <f>Leverage!C332</f>
        <v>9.5600000000000004E-2</v>
      </c>
      <c r="E174" s="9">
        <f>'Sales Growth'!C243</f>
        <v>0.1283</v>
      </c>
      <c r="F174" s="4">
        <f>LN(2130000000000)</f>
        <v>28.387143095649883</v>
      </c>
      <c r="G174" s="4">
        <f>DPR!H52</f>
        <v>0.70995600000000003</v>
      </c>
    </row>
    <row r="175" spans="1:7">
      <c r="A175" s="12"/>
      <c r="B175" s="5">
        <f>Volume!J54</f>
        <v>1.154857330850109E-2</v>
      </c>
      <c r="C175" s="9">
        <f>ROA!E320</f>
        <v>6.8599999999999994E-2</v>
      </c>
      <c r="D175" s="9">
        <f>Leverage!D332</f>
        <v>8.2500000000000004E-2</v>
      </c>
      <c r="E175" s="9">
        <f>'Sales Growth'!D243</f>
        <v>4.7100000000000003E-2</v>
      </c>
      <c r="F175" s="4">
        <f>LN(2340000000000)</f>
        <v>28.481172045298159</v>
      </c>
      <c r="G175" s="4">
        <f>DPR!I52</f>
        <v>0.43925799999999998</v>
      </c>
    </row>
    <row r="176" spans="1:7">
      <c r="A176" s="12"/>
      <c r="B176" s="5">
        <f>Volume!K54</f>
        <v>1.1092587973502734E-3</v>
      </c>
      <c r="C176" s="9">
        <f>ROA!F320</f>
        <v>5.1299999999999998E-2</v>
      </c>
      <c r="D176" s="9">
        <f>Leverage!E332</f>
        <v>3.8999999999999998E-3</v>
      </c>
      <c r="E176" s="9">
        <f>'Sales Growth'!E243</f>
        <v>-2.2800000000000001E-2</v>
      </c>
      <c r="F176" s="4">
        <f>LN(2250000000000)</f>
        <v>28.441951332144878</v>
      </c>
      <c r="G176" s="4">
        <f>DPR!J52</f>
        <v>0.53146800000000005</v>
      </c>
    </row>
    <row r="177" spans="1:7">
      <c r="A177" s="12"/>
      <c r="B177" s="5">
        <f>Volume!L54</f>
        <v>2.8642294911957068E-3</v>
      </c>
      <c r="C177" s="9">
        <f>ROA!G320</f>
        <v>4.2900000000000001E-2</v>
      </c>
      <c r="D177" s="9">
        <f>Leverage!F332</f>
        <v>4.4299999999999999E-2</v>
      </c>
      <c r="E177" s="9">
        <f>'Sales Growth'!F243</f>
        <v>-3.0099999999999998E-2</v>
      </c>
      <c r="F177" s="4">
        <f>LN(2460000000000)</f>
        <v>28.531182465872821</v>
      </c>
      <c r="G177" s="4">
        <f>DPR!K52</f>
        <v>0.37164999999999998</v>
      </c>
    </row>
    <row r="178" spans="1:7">
      <c r="A178" s="12" t="s">
        <v>4566</v>
      </c>
      <c r="B178" s="5">
        <f>Volume!I55</f>
        <v>2.3974921123764005E-3</v>
      </c>
      <c r="C178" s="9">
        <f>ROA!D324</f>
        <v>3.0000000000000001E-3</v>
      </c>
      <c r="D178" s="9">
        <f>Leverage!C336</f>
        <v>0.53649999999999998</v>
      </c>
      <c r="E178" s="9">
        <f>'Sales Growth'!C246</f>
        <v>-6.2300000000000001E-2</v>
      </c>
      <c r="F178" s="4">
        <f>LN(2490000000*14000)</f>
        <v>31.182361156020423</v>
      </c>
      <c r="G178" s="4">
        <f>DPR!H53</f>
        <v>0.17453299999999999</v>
      </c>
    </row>
    <row r="179" spans="1:7">
      <c r="A179" s="12"/>
      <c r="B179" s="5">
        <f>Volume!J55</f>
        <v>3.4010934617432656E-3</v>
      </c>
      <c r="C179" s="9">
        <f>ROA!E324</f>
        <v>1.0800000000000001E-2</v>
      </c>
      <c r="D179" s="9">
        <f>Leverage!D336</f>
        <v>0.53739999999999999</v>
      </c>
      <c r="E179" s="9">
        <f>'Sales Growth'!D246</f>
        <v>-5.11E-2</v>
      </c>
      <c r="F179" s="4">
        <f>LN(2580000000*14000)</f>
        <v>31.217867844477333</v>
      </c>
      <c r="G179" s="4">
        <f>DPR!I53</f>
        <v>0.56867200000000007</v>
      </c>
    </row>
    <row r="180" spans="1:7">
      <c r="A180" s="12"/>
      <c r="B180" s="5">
        <f>Volume!K55</f>
        <v>4.289997514039632E-4</v>
      </c>
      <c r="C180" s="9">
        <f>ROA!F324</f>
        <v>8.8599999999999998E-2</v>
      </c>
      <c r="D180" s="9">
        <f>Leverage!E336</f>
        <v>0.50280000000000002</v>
      </c>
      <c r="E180" s="9">
        <f>'Sales Growth'!E246</f>
        <v>-2.7300000000000001E-2</v>
      </c>
      <c r="F180" s="4">
        <f>LN(2970000000*14000)</f>
        <v>31.358640398358414</v>
      </c>
      <c r="G180" s="4">
        <f>DPR!J53</f>
        <v>4.4903999999999999E-2</v>
      </c>
    </row>
    <row r="181" spans="1:7">
      <c r="A181" s="12"/>
      <c r="B181" s="5">
        <f>Volume!L55</f>
        <v>1.3301700424148135E-3</v>
      </c>
      <c r="C181" s="9">
        <f>ROA!G324</f>
        <v>5.5300000000000002E-2</v>
      </c>
      <c r="D181" s="9">
        <f>Leverage!F336</f>
        <v>0.46260000000000001</v>
      </c>
      <c r="E181" s="9">
        <f>'Sales Growth'!F246</f>
        <v>-2.4400000000000002E-2</v>
      </c>
      <c r="F181" s="4">
        <f>LN(3060000000*14000)</f>
        <v>31.388493361508097</v>
      </c>
      <c r="G181" s="4">
        <f>DPR!K53</f>
        <v>3.1938000000000001E-2</v>
      </c>
    </row>
    <row r="182" spans="1:7">
      <c r="A182" s="12" t="s">
        <v>4567</v>
      </c>
      <c r="B182" s="5">
        <f>Volume!I56</f>
        <v>4.9827289146460729E-3</v>
      </c>
      <c r="C182" s="9">
        <f>ROA!D347</f>
        <v>6.4899999999999999E-2</v>
      </c>
      <c r="D182" s="9">
        <f>Leverage!C360</f>
        <v>0.19900000000000001</v>
      </c>
      <c r="E182" s="9">
        <f>'Sales Growth'!C265</f>
        <v>-3.4299999999999997E-2</v>
      </c>
      <c r="F182" s="4">
        <f>LN(9460000000000)</f>
        <v>29.878093498992335</v>
      </c>
      <c r="G182" s="4">
        <f>DPR!H54</f>
        <v>0.40337000000000001</v>
      </c>
    </row>
    <row r="183" spans="1:7">
      <c r="A183" s="12"/>
      <c r="B183" s="5">
        <f>Volume!J56</f>
        <v>3.0924785560376062E-3</v>
      </c>
      <c r="C183" s="9">
        <f>ROA!E347</f>
        <v>7.5899999999999995E-2</v>
      </c>
      <c r="D183" s="9">
        <f>Leverage!D360</f>
        <v>0.21199999999999999</v>
      </c>
      <c r="E183" s="9">
        <f>'Sales Growth'!D265</f>
        <v>3.2199999999999999E-2</v>
      </c>
      <c r="F183" s="4">
        <f>LN(9850000000000)</f>
        <v>29.918492571112544</v>
      </c>
      <c r="G183" s="4">
        <f>DPR!I54</f>
        <v>0.40207700000000002</v>
      </c>
    </row>
    <row r="184" spans="1:7">
      <c r="A184" s="12"/>
      <c r="B184" s="5">
        <f>Volume!K56</f>
        <v>1.7309189107564118E-3</v>
      </c>
      <c r="C184" s="9">
        <f>ROA!F347</f>
        <v>3.3300000000000003E-2</v>
      </c>
      <c r="D184" s="9">
        <f>Leverage!E360</f>
        <v>0.246</v>
      </c>
      <c r="E184" s="9">
        <f>'Sales Growth'!E265</f>
        <v>5.5999999999999999E-3</v>
      </c>
      <c r="F184" s="4">
        <f>LN(10040000000000)</f>
        <v>29.93759823019213</v>
      </c>
      <c r="G184" s="4">
        <f>DPR!J54</f>
        <v>0.402312</v>
      </c>
    </row>
    <row r="185" spans="1:7">
      <c r="A185" s="12"/>
      <c r="B185" s="5">
        <f>Volume!L56</f>
        <v>8.9225610797150599E-3</v>
      </c>
      <c r="C185" s="9">
        <f>ROA!G347</f>
        <v>2.5100000000000001E-2</v>
      </c>
      <c r="D185" s="9">
        <f>Leverage!F360</f>
        <v>0.29499999999999998</v>
      </c>
      <c r="E185" s="9">
        <f>'Sales Growth'!F265</f>
        <v>-3.9E-2</v>
      </c>
      <c r="F185" s="4">
        <f>LN(10230000000000)</f>
        <v>29.956345695892082</v>
      </c>
      <c r="G185" s="4">
        <f>DPR!K54</f>
        <v>0.37876799999999999</v>
      </c>
    </row>
    <row r="186" spans="1:7">
      <c r="A186" s="12" t="s">
        <v>4568</v>
      </c>
      <c r="B186" s="5">
        <f>Volume!I57</f>
        <v>3.9649589434707627E-3</v>
      </c>
      <c r="C186" s="9">
        <f>ROA!D361</f>
        <v>9.5799999999999996E-2</v>
      </c>
      <c r="D186" s="9">
        <f>Leverage!C376</f>
        <v>5.5800000000000002E-2</v>
      </c>
      <c r="E186" s="9">
        <f>'Sales Growth'!C273</f>
        <v>0.12570000000000001</v>
      </c>
      <c r="F186" s="4">
        <f>LN(7800000000000)</f>
        <v>29.685144849624095</v>
      </c>
      <c r="G186" s="4">
        <f>DPR!H55</f>
        <v>0.93362999999999996</v>
      </c>
    </row>
    <row r="187" spans="1:7">
      <c r="A187" s="12"/>
      <c r="B187" s="5">
        <f>Volume!J57</f>
        <v>3.7799431392568292E-3</v>
      </c>
      <c r="C187" s="9">
        <f>ROA!E361</f>
        <v>8.5999999999999993E-2</v>
      </c>
      <c r="D187" s="9">
        <f>Leverage!D376</f>
        <v>5.0500000000000003E-2</v>
      </c>
      <c r="E187" s="9">
        <f>'Sales Growth'!D273</f>
        <v>9.8100000000000007E-2</v>
      </c>
      <c r="F187" s="4">
        <f>LN(7470000000000)</f>
        <v>29.641916115073276</v>
      </c>
      <c r="G187" s="4">
        <f>DPR!I55</f>
        <v>0.32456099999999999</v>
      </c>
    </row>
    <row r="188" spans="1:7">
      <c r="A188" s="12"/>
      <c r="B188" s="5">
        <f>Volume!K57</f>
        <v>1.2775458379582405E-3</v>
      </c>
      <c r="C188" s="9">
        <f>ROA!F361</f>
        <v>6.6299999999999998E-2</v>
      </c>
      <c r="D188" s="9">
        <f>Leverage!E376</f>
        <v>0.14899999999999999</v>
      </c>
      <c r="E188" s="9">
        <f>'Sales Growth'!E273</f>
        <v>2.7799999999999998E-2</v>
      </c>
      <c r="F188" s="4">
        <f>LN(7500000000000)</f>
        <v>29.645924136470814</v>
      </c>
      <c r="G188" s="4">
        <f>DPR!J55</f>
        <v>0.17691999999999999</v>
      </c>
    </row>
    <row r="189" spans="1:7">
      <c r="A189" s="12"/>
      <c r="B189" s="5">
        <f>Volume!L57</f>
        <v>6.4849210363086491E-3</v>
      </c>
      <c r="C189" s="9">
        <f>ROA!G361</f>
        <v>0.17660000000000001</v>
      </c>
      <c r="D189" s="9">
        <f>Leverage!F376</f>
        <v>8.5000000000000006E-2</v>
      </c>
      <c r="E189" s="9">
        <f>'Sales Growth'!F273</f>
        <v>6.4999999999999997E-3</v>
      </c>
      <c r="F189" s="4">
        <f>LN(7620000000000)</f>
        <v>29.661797485627105</v>
      </c>
      <c r="G189" s="4">
        <f>DPR!K55</f>
        <v>0.73911300000000002</v>
      </c>
    </row>
    <row r="190" spans="1:7">
      <c r="A190" s="12" t="s">
        <v>4569</v>
      </c>
      <c r="B190" s="5">
        <f>Volume!I58</f>
        <v>6.7247954194103359E-3</v>
      </c>
      <c r="C190" s="9">
        <f>ROA!D363</f>
        <v>8.8599999999999998E-2</v>
      </c>
      <c r="D190" s="9">
        <f>Leverage!C379</f>
        <v>0.28139999999999998</v>
      </c>
      <c r="E190" s="9">
        <f>'Sales Growth'!C275</f>
        <v>3.0599999999999999E-2</v>
      </c>
      <c r="F190" s="4">
        <f>LN(4650000000000)</f>
        <v>29.167888335527813</v>
      </c>
      <c r="G190" s="4">
        <f>DPR!H56</f>
        <v>0.59249399999999997</v>
      </c>
    </row>
    <row r="191" spans="1:7">
      <c r="A191" s="12"/>
      <c r="B191" s="5">
        <f>Volume!J58</f>
        <v>1.9397719745003336E-3</v>
      </c>
      <c r="C191" s="9">
        <f>ROA!E363</f>
        <v>8.5199999999999998E-2</v>
      </c>
      <c r="D191" s="9">
        <f>Leverage!D379</f>
        <v>0.24540000000000001</v>
      </c>
      <c r="E191" s="9">
        <f>'Sales Growth'!D275</f>
        <v>-1.6000000000000001E-3</v>
      </c>
      <c r="F191" s="4">
        <f>LN(4890000000000)</f>
        <v>29.218213419415328</v>
      </c>
      <c r="G191" s="4">
        <f>DPR!I56</f>
        <v>0.49605100000000002</v>
      </c>
    </row>
    <row r="192" spans="1:7">
      <c r="A192" s="12"/>
      <c r="B192" s="5">
        <f>Volume!K58</f>
        <v>1.8715768660218061E-3</v>
      </c>
      <c r="C192" s="9">
        <f>ROA!F363</f>
        <v>0.1159</v>
      </c>
      <c r="D192" s="9">
        <f>Leverage!E379</f>
        <v>0.27429999999999999</v>
      </c>
      <c r="E192" s="9">
        <f>'Sales Growth'!E275</f>
        <v>-8.0000000000000002E-3</v>
      </c>
      <c r="F192" s="4">
        <f>LN(5240000000000)</f>
        <v>29.287342614261497</v>
      </c>
      <c r="G192" s="4">
        <f>DPR!J56</f>
        <v>0.57253999999999994</v>
      </c>
    </row>
    <row r="193" spans="1:7">
      <c r="A193" s="12"/>
      <c r="B193" s="5">
        <f>Volume!L58</f>
        <v>1.9511378259134213E-3</v>
      </c>
      <c r="C193" s="9">
        <f>ROA!G363</f>
        <v>0.11899999999999999</v>
      </c>
      <c r="D193" s="9">
        <f>Leverage!F379</f>
        <v>0.2969</v>
      </c>
      <c r="E193" s="9">
        <f>'Sales Growth'!F275</f>
        <v>-8.3000000000000001E-3</v>
      </c>
      <c r="F193" s="4">
        <f>LN(5650000000000)</f>
        <v>29.362676661086898</v>
      </c>
      <c r="G193" s="4">
        <f>DPR!K56</f>
        <v>0.52033499999999999</v>
      </c>
    </row>
    <row r="194" spans="1:7">
      <c r="A194" s="12" t="s">
        <v>4570</v>
      </c>
      <c r="B194" s="5">
        <f>Volume!I59</f>
        <v>6.2242585251223777E-5</v>
      </c>
      <c r="C194" s="9">
        <f>ROA!D366</f>
        <v>9.7900000000000001E-2</v>
      </c>
      <c r="D194" s="9">
        <f>Leverage!D381</f>
        <v>4.0000000000000001E-3</v>
      </c>
      <c r="E194" s="9">
        <f>'Sales Growth'!C278</f>
        <v>-0.17230000000000001</v>
      </c>
      <c r="F194" s="4">
        <f>LN(98710000*14000)</f>
        <v>27.954509424991468</v>
      </c>
      <c r="G194" s="4">
        <f>DPR!H57</f>
        <v>0.15062</v>
      </c>
    </row>
    <row r="195" spans="1:7">
      <c r="A195" s="12"/>
      <c r="B195" s="5">
        <f>Volume!J59</f>
        <v>2.0678599751237135E-5</v>
      </c>
      <c r="C195" s="9">
        <f>ROA!E366</f>
        <v>0.13389999999999999</v>
      </c>
      <c r="D195" s="9">
        <f>Leverage!D381</f>
        <v>4.0000000000000001E-3</v>
      </c>
      <c r="E195" s="9">
        <f>'Sales Growth'!D278</f>
        <v>-0.16830000000000001</v>
      </c>
      <c r="F195" s="4">
        <f>LN(105050000*14000)</f>
        <v>28.016759593852679</v>
      </c>
      <c r="G195" s="4">
        <f>DPR!I57</f>
        <v>0.13452800000000001</v>
      </c>
    </row>
    <row r="196" spans="1:7">
      <c r="A196" s="12"/>
      <c r="B196" s="5">
        <f>Volume!K59</f>
        <v>7.0100453156693888E-5</v>
      </c>
      <c r="C196" s="9">
        <f>ROA!F366</f>
        <v>6.0000000000000001E-3</v>
      </c>
      <c r="D196" s="9">
        <f>Leverage!E381</f>
        <v>1.2200000000000001E-2</v>
      </c>
      <c r="E196" s="9">
        <f>'Sales Growth'!E278</f>
        <v>-0.21240000000000001</v>
      </c>
      <c r="F196" s="4">
        <f>LN(117270000*14000)</f>
        <v>28.126802135034644</v>
      </c>
      <c r="G196" s="4">
        <f>DPR!J57</f>
        <v>0.13552500000000001</v>
      </c>
    </row>
    <row r="197" spans="1:7">
      <c r="A197" s="12"/>
      <c r="B197" s="5">
        <f>Volume!L59</f>
        <v>4.8250066086219978E-4</v>
      </c>
      <c r="C197" s="9">
        <f>ROA!G366</f>
        <v>4.5499999999999999E-2</v>
      </c>
      <c r="D197" s="9">
        <f>Leverage!F381</f>
        <v>6.54E-2</v>
      </c>
      <c r="E197" s="9">
        <f>'Sales Growth'!F278</f>
        <v>5.0599999999999999E-2</v>
      </c>
      <c r="F197" s="4">
        <f>LN(126350000*14000)</f>
        <v>28.201379000395875</v>
      </c>
      <c r="G197" s="4">
        <f>DPR!K57</f>
        <v>0.20727499999999999</v>
      </c>
    </row>
    <row r="198" spans="1:7">
      <c r="A198" s="12" t="s">
        <v>4571</v>
      </c>
      <c r="B198" s="5">
        <f>Volume!I60</f>
        <v>1.5365830538084098E-3</v>
      </c>
      <c r="C198" s="9">
        <f>ROA!D373</f>
        <v>1.6799999999999999E-2</v>
      </c>
      <c r="D198" s="9">
        <f>Leverage!C388</f>
        <v>0.27739999999999998</v>
      </c>
      <c r="E198" s="9">
        <f>'Sales Growth'!C283</f>
        <v>3.1800000000000002E-2</v>
      </c>
      <c r="F198" s="4">
        <f>LN(32540000000000)</f>
        <v>31.113491217719439</v>
      </c>
      <c r="G198" s="4">
        <f>DPR!H58</f>
        <v>0.28280500000000003</v>
      </c>
    </row>
    <row r="199" spans="1:7">
      <c r="A199" s="12"/>
      <c r="B199" s="5">
        <f>Volume!J60</f>
        <v>1.1954811074027373E-3</v>
      </c>
      <c r="C199" s="9">
        <f>ROA!E373</f>
        <v>1.46E-2</v>
      </c>
      <c r="D199" s="9">
        <f>Leverage!D388</f>
        <v>0.28110000000000002</v>
      </c>
      <c r="E199" s="9">
        <f>'Sales Growth'!D283</f>
        <v>0.03</v>
      </c>
      <c r="F199" s="4">
        <f>LN(33860000000000)</f>
        <v>31.153255492633537</v>
      </c>
      <c r="G199" s="4">
        <f>DPR!I58</f>
        <v>0.25442700000000001</v>
      </c>
    </row>
    <row r="200" spans="1:7">
      <c r="A200" s="12"/>
      <c r="B200" s="5">
        <f>Volume!K60</f>
        <v>6.8220389281134475E-4</v>
      </c>
      <c r="C200" s="9">
        <f>ROA!F373</f>
        <v>-2.2000000000000001E-3</v>
      </c>
      <c r="D200" s="9">
        <f>Leverage!E388</f>
        <v>0.29149999999999998</v>
      </c>
      <c r="E200" s="9">
        <f>'Sales Growth'!E283</f>
        <v>1.5800000000000002E-2</v>
      </c>
      <c r="F200" s="4">
        <f>LN(34670000000000)</f>
        <v>31.17689587562548</v>
      </c>
      <c r="G200" s="4">
        <f>DPR!J58</f>
        <v>0.27534699999999995</v>
      </c>
    </row>
    <row r="201" spans="1:7">
      <c r="A201" s="12"/>
      <c r="B201" s="5">
        <f>Volume!L60</f>
        <v>1.3351704759307747E-3</v>
      </c>
      <c r="C201" s="9">
        <f>ROA!G373</f>
        <v>-1.5699999999999999E-2</v>
      </c>
      <c r="D201" s="9">
        <f>Leverage!F388</f>
        <v>0.30299999999999999</v>
      </c>
      <c r="E201" s="9">
        <f>'Sales Growth'!F283</f>
        <v>-1.5299999999999999E-2</v>
      </c>
      <c r="F201" s="4">
        <f>LN(34910000000000)</f>
        <v>31.183794437045492</v>
      </c>
      <c r="G201" s="4">
        <f>DPR!K58</f>
        <v>0.28979299999999997</v>
      </c>
    </row>
    <row r="202" spans="1:7">
      <c r="A202" s="12" t="s">
        <v>4572</v>
      </c>
      <c r="B202" s="5">
        <f>Volume!I61</f>
        <v>7.0551574152390301E-3</v>
      </c>
      <c r="C202" s="9">
        <f>ROA!D374</f>
        <v>0.1376</v>
      </c>
      <c r="D202" s="9">
        <f>Leverage!C389</f>
        <v>0.1358</v>
      </c>
      <c r="E202" s="9">
        <f>'Sales Growth'!C284</f>
        <v>8.5599999999999996E-2</v>
      </c>
      <c r="F202" s="4">
        <f>LN(147250000*14000)</f>
        <v>28.354454989093366</v>
      </c>
      <c r="G202" s="4">
        <f>DPR!H59</f>
        <v>0.79541300000000004</v>
      </c>
    </row>
    <row r="203" spans="1:7">
      <c r="A203" s="12"/>
      <c r="B203" s="5">
        <f>Volume!J61</f>
        <v>2.7070148355833211E-3</v>
      </c>
      <c r="C203" s="9">
        <f>ROA!E374</f>
        <v>8.6699999999999999E-2</v>
      </c>
      <c r="D203" s="9">
        <f>Leverage!D389</f>
        <v>7.3499999999999996E-2</v>
      </c>
      <c r="E203" s="9">
        <f>'Sales Growth'!D284</f>
        <v>3.2199999999999999E-2</v>
      </c>
      <c r="F203" s="4">
        <f>LN(136070000*14000)</f>
        <v>28.275492625764436</v>
      </c>
      <c r="G203" s="4">
        <f>DPR!I59</f>
        <v>0.158998</v>
      </c>
    </row>
    <row r="204" spans="1:7">
      <c r="A204" s="12"/>
      <c r="B204" s="5">
        <f>Volume!K61</f>
        <v>3.6544700280374833E-3</v>
      </c>
      <c r="C204" s="9">
        <f>ROA!F374</f>
        <v>0.215</v>
      </c>
      <c r="D204" s="9">
        <f>Leverage!E389</f>
        <v>6.6100000000000006E-2</v>
      </c>
      <c r="E204" s="9">
        <f>'Sales Growth'!E284</f>
        <v>1.4800000000000001E-2</v>
      </c>
      <c r="F204" s="4">
        <f>LN(151330000*14000)</f>
        <v>28.381786049260604</v>
      </c>
      <c r="G204" s="4">
        <f>DPR!J59</f>
        <v>0.24255300000000002</v>
      </c>
    </row>
    <row r="205" spans="1:7">
      <c r="A205" s="12"/>
      <c r="B205" s="5">
        <f>Volume!L61</f>
        <v>5.8894491516659625E-4</v>
      </c>
      <c r="C205" s="9">
        <f>ROA!G374</f>
        <v>0.16739999999999999</v>
      </c>
      <c r="D205" s="9">
        <f>Leverage!F389</f>
        <v>3.1199999999999999E-2</v>
      </c>
      <c r="E205" s="9">
        <f>'Sales Growth'!F284</f>
        <v>1.12E-2</v>
      </c>
      <c r="F205" s="4">
        <f>LN(160800000*14000)</f>
        <v>28.442484523306536</v>
      </c>
      <c r="G205" s="4">
        <f>DPR!K59</f>
        <v>0.28689699999999996</v>
      </c>
    </row>
    <row r="206" spans="1:7">
      <c r="A206" s="12" t="s">
        <v>4573</v>
      </c>
      <c r="B206" s="5">
        <f>Volume!I62</f>
        <v>2.1964921380371906E-3</v>
      </c>
      <c r="C206" s="9">
        <f>ROA!D376</f>
        <v>2.1399999999999999E-2</v>
      </c>
      <c r="D206" s="9">
        <f>Leverage!C391</f>
        <v>0.34389999999999998</v>
      </c>
      <c r="E206" s="9">
        <f>'Sales Growth'!C286</f>
        <v>-6.83E-2</v>
      </c>
      <c r="F206" s="4">
        <f>LN(571900000*14000)</f>
        <v>29.711287317482942</v>
      </c>
      <c r="G206" s="4">
        <f>DPR!H60</f>
        <v>0.63966000000000001</v>
      </c>
    </row>
    <row r="207" spans="1:7">
      <c r="A207" s="12"/>
      <c r="B207" s="5">
        <f>Volume!J62</f>
        <v>2.1523415422977496E-3</v>
      </c>
      <c r="C207" s="9">
        <f>ROA!E376</f>
        <v>1.67E-2</v>
      </c>
      <c r="D207" s="9">
        <f>Leverage!D391</f>
        <v>0.32769999999999999</v>
      </c>
      <c r="E207" s="9">
        <f>'Sales Growth'!D286</f>
        <v>-6.6100000000000006E-2</v>
      </c>
      <c r="F207" s="4">
        <f>LN(588790000*14000)</f>
        <v>29.740392750136458</v>
      </c>
      <c r="G207" s="4">
        <f>DPR!I60</f>
        <v>0.37554399999999999</v>
      </c>
    </row>
    <row r="208" spans="1:7">
      <c r="A208" s="12"/>
      <c r="B208" s="5">
        <f>Volume!K62</f>
        <v>2.7152616379756229E-3</v>
      </c>
      <c r="C208" s="9">
        <f>ROA!F376</f>
        <v>1.23E-2</v>
      </c>
      <c r="D208" s="9">
        <f>Leverage!E391</f>
        <v>0.30080000000000001</v>
      </c>
      <c r="E208" s="9">
        <f>'Sales Growth'!E286</f>
        <v>-1.72E-2</v>
      </c>
      <c r="F208" s="4">
        <f>LN(599790000*14000)</f>
        <v>29.758902760513521</v>
      </c>
      <c r="G208" s="4">
        <f>DPR!J60</f>
        <v>0.68673000000000006</v>
      </c>
    </row>
    <row r="209" spans="1:7">
      <c r="A209" s="12"/>
      <c r="B209" s="5">
        <f>Volume!L62</f>
        <v>5.2793074855436598E-4</v>
      </c>
      <c r="C209" s="9">
        <f>ROA!G376</f>
        <v>-6.8699999999999997E-2</v>
      </c>
      <c r="D209" s="9">
        <f>Leverage!F391</f>
        <v>0.27789999999999998</v>
      </c>
      <c r="E209" s="9">
        <f>'Sales Growth'!F286</f>
        <v>-2.5100000000000001E-2</v>
      </c>
      <c r="F209" s="4">
        <f>LN(517230000*14000)</f>
        <v>29.610810816417541</v>
      </c>
      <c r="G209" s="4">
        <f>DPR!K60</f>
        <v>0.30581399999999997</v>
      </c>
    </row>
    <row r="210" spans="1:7">
      <c r="A210" s="12" t="s">
        <v>4574</v>
      </c>
      <c r="B210" s="5">
        <f>Volume!I63</f>
        <v>2.0142978525102237E-4</v>
      </c>
      <c r="C210" s="9">
        <f>ROA!D379</f>
        <v>0.1062</v>
      </c>
      <c r="D210" s="9">
        <f>Leverage!C394</f>
        <v>0.4748</v>
      </c>
      <c r="E210" s="9">
        <f>'Sales Growth'!C288</f>
        <v>0.25740000000000002</v>
      </c>
      <c r="F210" s="4">
        <f>LN(18790000000000)</f>
        <v>30.564345929353923</v>
      </c>
      <c r="G210" s="4">
        <f>DPR!H61</f>
        <v>0.39969299999999996</v>
      </c>
    </row>
    <row r="211" spans="1:7">
      <c r="A211" s="12"/>
      <c r="B211" s="5">
        <f>Volume!J63</f>
        <v>4.1574420495306962E-5</v>
      </c>
      <c r="C211" s="9">
        <f>ROA!E379</f>
        <v>0.1119</v>
      </c>
      <c r="D211" s="9">
        <f>Leverage!D394</f>
        <v>0.47960000000000003</v>
      </c>
      <c r="E211" s="9">
        <f>'Sales Growth'!D288</f>
        <v>0.19420000000000001</v>
      </c>
      <c r="F211" s="4">
        <f>LN(18760000000000)</f>
        <v>30.562748059506628</v>
      </c>
      <c r="G211" s="4">
        <f>DPR!I61</f>
        <v>0.44995600000000002</v>
      </c>
    </row>
    <row r="212" spans="1:7">
      <c r="A212" s="12"/>
      <c r="B212" s="5">
        <f>Volume!K63</f>
        <v>8.4609099561730081E-4</v>
      </c>
      <c r="C212" s="9">
        <f>ROA!F379</f>
        <v>0.1055</v>
      </c>
      <c r="D212" s="9">
        <f>Leverage!E394</f>
        <v>0.50019999999999998</v>
      </c>
      <c r="E212" s="9">
        <f>'Sales Growth'!E288</f>
        <v>0.1318</v>
      </c>
      <c r="F212" s="4">
        <f>LN(22960000000000)</f>
        <v>30.764774687379912</v>
      </c>
      <c r="G212" s="4">
        <f>DPR!J61</f>
        <v>0.399982</v>
      </c>
    </row>
    <row r="213" spans="1:7">
      <c r="A213" s="12"/>
      <c r="B213" s="5">
        <f>Volume!L63</f>
        <v>3.739120917687422E-3</v>
      </c>
      <c r="C213" s="9">
        <f>ROA!G379</f>
        <v>9.2499999999999999E-2</v>
      </c>
      <c r="D213" s="9">
        <f>Leverage!F394</f>
        <v>0.54830000000000001</v>
      </c>
      <c r="E213" s="9">
        <f>'Sales Growth'!F288</f>
        <v>9.4899999999999998E-2</v>
      </c>
      <c r="F213" s="4">
        <f>LN(27670000000000)</f>
        <v>30.951369909727383</v>
      </c>
      <c r="G213" s="4">
        <f>DPR!K61</f>
        <v>0.39998499999999998</v>
      </c>
    </row>
    <row r="214" spans="1:7">
      <c r="A214" s="12" t="s">
        <v>4575</v>
      </c>
      <c r="B214" s="5">
        <f>Volume!I64</f>
        <v>5.8471972301078615E-4</v>
      </c>
      <c r="C214" s="9">
        <f>ROA!D391</f>
        <v>0.2024</v>
      </c>
      <c r="D214" s="9">
        <f>Leverage!C408</f>
        <v>6.9699999999999998E-2</v>
      </c>
      <c r="E214" s="9">
        <f>'Sales Growth'!C295</f>
        <v>0.10050000000000001</v>
      </c>
      <c r="F214" s="4">
        <f>LN(2250000000000)</f>
        <v>28.441951332144878</v>
      </c>
      <c r="G214" s="4">
        <f>DPR!H62</f>
        <v>0.43546299999999999</v>
      </c>
    </row>
    <row r="215" spans="1:7">
      <c r="A215" s="12"/>
      <c r="B215" s="5">
        <f>Volume!J64</f>
        <v>8.1694883285904157E-4</v>
      </c>
      <c r="C215" s="9">
        <f>ROA!E391</f>
        <v>0.21260000000000001</v>
      </c>
      <c r="D215" s="9">
        <f>Leverage!D408</f>
        <v>4.3400000000000001E-2</v>
      </c>
      <c r="E215" s="9">
        <f>'Sales Growth'!D295</f>
        <v>8.14E-2</v>
      </c>
      <c r="F215" s="4">
        <f>LN(2440000000000)</f>
        <v>28.523019155233658</v>
      </c>
      <c r="G215" s="4">
        <f>DPR!I62</f>
        <v>0.97689300000000001</v>
      </c>
    </row>
    <row r="216" spans="1:7">
      <c r="A216" s="12"/>
      <c r="B216" s="5">
        <f>Volume!K64</f>
        <v>1.5053422656235132E-3</v>
      </c>
      <c r="C216" s="9">
        <f>ROA!F391</f>
        <v>0.21240000000000001</v>
      </c>
      <c r="D216" s="9">
        <f>Leverage!E408</f>
        <v>3.2099999999999997E-2</v>
      </c>
      <c r="E216" s="9">
        <f>'Sales Growth'!E295</f>
        <v>0.10780000000000001</v>
      </c>
      <c r="F216" s="4">
        <f>LN(2800000000000)</f>
        <v>28.660640533109706</v>
      </c>
      <c r="G216" s="4">
        <f>DPR!J62</f>
        <v>0.153059</v>
      </c>
    </row>
    <row r="217" spans="1:7">
      <c r="A217" s="12"/>
      <c r="B217" s="5">
        <f>Volume!L64</f>
        <v>1.0616187878777392E-3</v>
      </c>
      <c r="C217" s="9">
        <f>ROA!G391</f>
        <v>0.19550000000000001</v>
      </c>
      <c r="D217" s="9">
        <f>Leverage!F408</f>
        <v>2.6100000000000002E-2</v>
      </c>
      <c r="E217" s="9">
        <f>'Sales Growth'!F295</f>
        <v>8.5999999999999993E-2</v>
      </c>
      <c r="F217" s="4">
        <f>LN(3110000000000)</f>
        <v>28.76564384211969</v>
      </c>
      <c r="G217" s="4">
        <f>DPR!K62</f>
        <v>0.816133</v>
      </c>
    </row>
    <row r="218" spans="1:7">
      <c r="A218" s="12" t="s">
        <v>4576</v>
      </c>
      <c r="B218" s="5">
        <f>Volume!I65</f>
        <v>9.7409285786060184E-3</v>
      </c>
      <c r="C218" s="9">
        <f>ROA!D392</f>
        <v>6.7799999999999999E-2</v>
      </c>
      <c r="D218" s="9">
        <f>Leverage!C409</f>
        <v>0.1431</v>
      </c>
      <c r="E218" s="9">
        <f>'Sales Growth'!C296</f>
        <v>7.8899999999999998E-2</v>
      </c>
      <c r="F218" s="4">
        <f>LN(4370000000000)</f>
        <v>29.105784125036045</v>
      </c>
      <c r="G218" s="4">
        <f>DPR!H63</f>
        <v>0.19775200000000001</v>
      </c>
    </row>
    <row r="219" spans="1:7">
      <c r="A219" s="12"/>
      <c r="B219" s="5">
        <f>Volume!J65</f>
        <v>3.5758422275382768E-4</v>
      </c>
      <c r="C219" s="9">
        <f>ROA!E392</f>
        <v>3.1099999999999999E-2</v>
      </c>
      <c r="D219" s="9">
        <f>Leverage!D409</f>
        <v>0.18559999999999999</v>
      </c>
      <c r="E219" s="9">
        <f>'Sales Growth'!D296</f>
        <v>7.3599999999999999E-2</v>
      </c>
      <c r="F219" s="4">
        <f>LN(5060000000000)</f>
        <v>29.252387599227923</v>
      </c>
      <c r="G219" s="4">
        <f>DPR!I63</f>
        <v>0.34932600000000003</v>
      </c>
    </row>
    <row r="220" spans="1:7">
      <c r="A220" s="12"/>
      <c r="B220" s="5">
        <f>Volume!K65</f>
        <v>3.8292380047520144E-4</v>
      </c>
      <c r="C220" s="9">
        <f>ROA!F392</f>
        <v>1.44E-2</v>
      </c>
      <c r="D220" s="9">
        <f>Leverage!E409</f>
        <v>0.25600000000000001</v>
      </c>
      <c r="E220" s="9">
        <f>'Sales Growth'!E296</f>
        <v>0.1179</v>
      </c>
      <c r="F220" s="4">
        <f>LN(5540000000000)</f>
        <v>29.34301561668774</v>
      </c>
      <c r="G220" s="4">
        <f>DPR!J63</f>
        <v>0.30446000000000001</v>
      </c>
    </row>
    <row r="221" spans="1:7">
      <c r="A221" s="12"/>
      <c r="B221" s="5">
        <f>Volume!L65</f>
        <v>1.1077015403914817E-2</v>
      </c>
      <c r="C221" s="9">
        <f>ROA!G392</f>
        <v>5.4000000000000003E-3</v>
      </c>
      <c r="D221" s="9">
        <f>Leverage!F409</f>
        <v>0.28160000000000002</v>
      </c>
      <c r="E221" s="9">
        <f>'Sales Growth'!F296</f>
        <v>0.1104</v>
      </c>
      <c r="F221" s="4">
        <f>LN(5570000000000)</f>
        <v>29.34841616986774</v>
      </c>
      <c r="G221" s="4">
        <f>DPR!K63</f>
        <v>0.29644999999999999</v>
      </c>
    </row>
    <row r="222" spans="1:7">
      <c r="A222" s="12" t="s">
        <v>4577</v>
      </c>
      <c r="B222" s="5">
        <f>Volume!I66</f>
        <v>5.2550263105913546E-4</v>
      </c>
      <c r="C222" s="9">
        <f>ROA!D419</f>
        <v>1.5800000000000002E-2</v>
      </c>
      <c r="D222" s="9">
        <f>Leverage!C436</f>
        <v>0.3569</v>
      </c>
      <c r="E222" s="9">
        <f>'Sales Growth'!C317</f>
        <v>0.1986</v>
      </c>
      <c r="F222" s="4">
        <f>LN(20810000000000)</f>
        <v>30.66645475633409</v>
      </c>
      <c r="G222" s="4">
        <f>DPR!H64</f>
        <v>0.15001500000000001</v>
      </c>
    </row>
    <row r="223" spans="1:7">
      <c r="A223" s="12"/>
      <c r="B223" s="5">
        <f>Volume!J66</f>
        <v>5.0922600089358696E-4</v>
      </c>
      <c r="C223" s="9">
        <f>ROA!E419</f>
        <v>1.7000000000000001E-2</v>
      </c>
      <c r="D223" s="9">
        <f>Leverage!D436</f>
        <v>0.3271</v>
      </c>
      <c r="E223" s="9">
        <f>'Sales Growth'!D317</f>
        <v>0.114</v>
      </c>
      <c r="F223" s="4">
        <f>LN(21660000000000)</f>
        <v>30.706488357501392</v>
      </c>
      <c r="G223" s="4">
        <f>DPR!I64</f>
        <v>0.135601</v>
      </c>
    </row>
    <row r="224" spans="1:7">
      <c r="A224" s="12"/>
      <c r="B224" s="5">
        <f>Volume!K66</f>
        <v>2.2264104833589478E-3</v>
      </c>
      <c r="C224" s="9">
        <f>ROA!F419</f>
        <v>0.02</v>
      </c>
      <c r="D224" s="9">
        <f>Leverage!E436</f>
        <v>0.36940000000000001</v>
      </c>
      <c r="E224" s="9">
        <f>'Sales Growth'!E317</f>
        <v>7.8299999999999995E-2</v>
      </c>
      <c r="F224" s="4">
        <f>LN(23300000000000)</f>
        <v>30.779474476500202</v>
      </c>
      <c r="G224" s="4">
        <f>DPR!J64</f>
        <v>0.74986200000000003</v>
      </c>
    </row>
    <row r="225" spans="1:7">
      <c r="A225" s="12"/>
      <c r="B225" s="5">
        <f>Volume!L66</f>
        <v>8.6498663165486013E-4</v>
      </c>
      <c r="C225" s="9">
        <f>ROA!G419</f>
        <v>2.1600000000000001E-2</v>
      </c>
      <c r="D225" s="9">
        <f>Leverage!F436</f>
        <v>0.36699999999999999</v>
      </c>
      <c r="E225" s="9">
        <f>'Sales Growth'!F317</f>
        <v>7.0000000000000001E-3</v>
      </c>
      <c r="F225" s="4">
        <f>LN(24440000000000)</f>
        <v>30.827242250231944</v>
      </c>
      <c r="G225" s="4">
        <f>DPR!K64</f>
        <v>1.4987360000000001</v>
      </c>
    </row>
    <row r="226" spans="1:7">
      <c r="A226" s="12" t="s">
        <v>4578</v>
      </c>
      <c r="B226" s="5">
        <f>Volume!I67</f>
        <v>6.4106685823513291E-3</v>
      </c>
      <c r="C226" s="9">
        <f>ROA!D427</f>
        <v>9.1000000000000004E-3</v>
      </c>
      <c r="D226" s="9">
        <f>Leverage!C444</f>
        <v>0.34129999999999999</v>
      </c>
      <c r="E226" s="9">
        <f>'Sales Growth'!C323</f>
        <v>7.3700000000000002E-2</v>
      </c>
      <c r="F226" s="4">
        <f>LN(7200000000000)</f>
        <v>29.605102141950557</v>
      </c>
      <c r="G226">
        <f>DPR!H65</f>
        <v>0.800817</v>
      </c>
    </row>
    <row r="227" spans="1:7">
      <c r="A227" s="12"/>
      <c r="B227" s="5">
        <f>Volume!J67</f>
        <v>1.5547859732978137E-2</v>
      </c>
      <c r="C227" s="9">
        <f>ROA!E427</f>
        <v>0.1469</v>
      </c>
      <c r="D227" s="9">
        <f>Leverage!D444</f>
        <v>0.25650000000000001</v>
      </c>
      <c r="E227" s="9">
        <f>'Sales Growth'!D323</f>
        <v>-1.5E-3</v>
      </c>
      <c r="F227" s="4">
        <f>LN(8850000000000)</f>
        <v>29.811438574948387</v>
      </c>
      <c r="G227">
        <f>DPR!I65</f>
        <v>0.55453799999999998</v>
      </c>
    </row>
    <row r="228" spans="1:7">
      <c r="A228" s="12"/>
      <c r="B228" s="5">
        <f>Volume!K67</f>
        <v>1.4908383611363934E-2</v>
      </c>
      <c r="C228" s="9">
        <f>ROA!F427</f>
        <v>4.5999999999999999E-3</v>
      </c>
      <c r="D228" s="9">
        <f>Leverage!E444</f>
        <v>0.2034</v>
      </c>
      <c r="E228" s="9">
        <f>'Sales Growth'!E323</f>
        <v>-3.3700000000000001E-2</v>
      </c>
      <c r="F228" s="4">
        <f>LN(7400000000000)</f>
        <v>29.632501116138673</v>
      </c>
      <c r="G228">
        <f>DPR!J65</f>
        <v>0.74343500000000007</v>
      </c>
    </row>
    <row r="229" spans="1:7">
      <c r="A229" s="12"/>
      <c r="B229" s="5">
        <f>Volume!L67</f>
        <v>4.1231893214527656E-3</v>
      </c>
      <c r="C229" s="9">
        <f>ROA!G427</f>
        <v>1.1900000000000001E-2</v>
      </c>
      <c r="D229" s="9">
        <f>Leverage!F444</f>
        <v>0.14749999999999999</v>
      </c>
      <c r="E229" s="9">
        <f>'Sales Growth'!F323</f>
        <v>-1.09E-2</v>
      </c>
      <c r="F229" s="4">
        <f>LN(8090000000000)</f>
        <v>29.72164984699895</v>
      </c>
      <c r="G229">
        <f>DPR!K65</f>
        <v>0.74421700000000002</v>
      </c>
    </row>
    <row r="230" spans="1:7">
      <c r="A230" s="12" t="s">
        <v>4579</v>
      </c>
      <c r="B230" s="5">
        <f>Volume!I68</f>
        <v>6.6153172468513986E-5</v>
      </c>
      <c r="C230" s="9">
        <f>ROA!D428</f>
        <v>6.7100000000000007E-2</v>
      </c>
      <c r="D230" s="9">
        <f>Leverage!C445</f>
        <v>7.5899999999999995E-2</v>
      </c>
      <c r="E230" s="9">
        <f>'Sales Growth'!C324</f>
        <v>9.5600000000000004E-2</v>
      </c>
      <c r="F230" s="4">
        <f>LN(2580000000000)</f>
        <v>28.578810514862074</v>
      </c>
      <c r="G230" s="4">
        <f>DPR!H66</f>
        <v>0.41956199999999999</v>
      </c>
    </row>
    <row r="231" spans="1:7">
      <c r="A231" s="12"/>
      <c r="B231" s="5">
        <f>Volume!J68</f>
        <v>1.1355224167410944E-4</v>
      </c>
      <c r="C231" s="9">
        <f>ROA!E428</f>
        <v>0.1032</v>
      </c>
      <c r="D231" s="9">
        <f>Leverage!D445</f>
        <v>9.74E-2</v>
      </c>
      <c r="E231" s="9">
        <f>'Sales Growth'!D324</f>
        <v>7.0499999999999993E-2</v>
      </c>
      <c r="F231" s="4">
        <f>LN(2830000000000)</f>
        <v>28.671297827583693</v>
      </c>
      <c r="G231" s="4">
        <f>DPR!I66</f>
        <v>0.41375200000000006</v>
      </c>
    </row>
    <row r="232" spans="1:7">
      <c r="A232" s="12"/>
      <c r="B232" s="5">
        <f>Volume!K68</f>
        <v>2.3648153497967813E-4</v>
      </c>
      <c r="C232" s="9">
        <f>ROA!F428</f>
        <v>0.1211</v>
      </c>
      <c r="D232" s="9">
        <f>Leverage!E445</f>
        <v>6.8500000000000005E-2</v>
      </c>
      <c r="E232" s="9">
        <f>'Sales Growth'!E324</f>
        <v>5.8700000000000002E-2</v>
      </c>
      <c r="F232" s="4">
        <f>LN(2900000000000)</f>
        <v>28.695731852920975</v>
      </c>
      <c r="G232" s="4">
        <f>DPR!J66</f>
        <v>0.35154299999999999</v>
      </c>
    </row>
    <row r="233" spans="1:7">
      <c r="A233" s="12"/>
      <c r="B233" s="5">
        <f>Volume!L68</f>
        <v>1.3153562836457926E-4</v>
      </c>
      <c r="C233" s="9">
        <f>ROA!G428</f>
        <v>4.8399999999999999E-2</v>
      </c>
      <c r="D233" s="9">
        <f>Leverage!F445</f>
        <v>4.2000000000000003E-2</v>
      </c>
      <c r="E233" s="9">
        <f>'Sales Growth'!F324</f>
        <v>3.2000000000000002E-3</v>
      </c>
      <c r="F233" s="4">
        <f>LN(2920000000000)</f>
        <v>28.702604732208737</v>
      </c>
      <c r="G233" s="4">
        <f>DPR!K66</f>
        <v>0.40594400000000003</v>
      </c>
    </row>
    <row r="234" spans="1:7">
      <c r="A234" s="12" t="s">
        <v>4580</v>
      </c>
      <c r="B234" s="5">
        <f>Volume!I69</f>
        <v>7.3744028577285949E-4</v>
      </c>
      <c r="C234" s="9">
        <f>ROA!D431</f>
        <v>1.03E-2</v>
      </c>
      <c r="D234" s="9">
        <f>Leverage!C448</f>
        <v>0.1961</v>
      </c>
      <c r="E234" s="9">
        <f>'Sales Growth'!C326</f>
        <v>-0.10340000000000001</v>
      </c>
      <c r="F234" s="4">
        <f>LN(261590000*14000)</f>
        <v>28.929101559114375</v>
      </c>
      <c r="G234" s="4">
        <f>DPR!H67</f>
        <v>0.30003299999999999</v>
      </c>
    </row>
    <row r="235" spans="1:7">
      <c r="A235" s="12"/>
      <c r="B235" s="5">
        <f>Volume!J69</f>
        <v>7.3795649397290057E-4</v>
      </c>
      <c r="C235" s="9">
        <f>ROA!E431</f>
        <v>7.0300000000000001E-2</v>
      </c>
      <c r="D235" s="9">
        <f>Leverage!D448</f>
        <v>0.28370000000000001</v>
      </c>
      <c r="E235" s="9">
        <f>'Sales Growth'!D326</f>
        <v>-2.1999999999999999E-2</v>
      </c>
      <c r="F235" s="4">
        <f>LN(348400000*14000)</f>
        <v>29.215674411540018</v>
      </c>
      <c r="G235" s="4">
        <f>DPR!I67</f>
        <v>0.20000100000000001</v>
      </c>
    </row>
    <row r="236" spans="1:7">
      <c r="A236" s="12"/>
      <c r="B236" s="5">
        <f>Volume!K69</f>
        <v>5.8995222861828767E-6</v>
      </c>
      <c r="C236" s="9">
        <f>ROA!F431</f>
        <v>8.8900000000000007E-2</v>
      </c>
      <c r="D236" s="9">
        <f>Leverage!E448</f>
        <v>0.309</v>
      </c>
      <c r="E236" s="9">
        <f>'Sales Growth'!E326</f>
        <v>4.7500000000000001E-2</v>
      </c>
      <c r="F236" s="4">
        <f>LN(501880000*14000)</f>
        <v>29.580684213853168</v>
      </c>
      <c r="G236" s="4">
        <f>DPR!J67</f>
        <v>0.24999899999999997</v>
      </c>
    </row>
    <row r="237" spans="1:7">
      <c r="A237" s="12"/>
      <c r="B237" s="5">
        <f>Volume!L69</f>
        <v>3.7240734431529409E-5</v>
      </c>
      <c r="C237" s="9">
        <f>ROA!G431</f>
        <v>4.6699999999999998E-2</v>
      </c>
      <c r="D237" s="9">
        <f>Leverage!F448</f>
        <v>0.40689999999999998</v>
      </c>
      <c r="E237" s="9">
        <f>'Sales Growth'!F326</f>
        <v>5.0200000000000002E-2</v>
      </c>
      <c r="F237" s="4">
        <f>LN(634660000*14000)</f>
        <v>29.815412588988021</v>
      </c>
      <c r="G237" s="4">
        <f>DPR!K67</f>
        <v>0.05</v>
      </c>
    </row>
    <row r="238" spans="1:7">
      <c r="A238" s="12" t="s">
        <v>4581</v>
      </c>
      <c r="B238" s="5">
        <f>Volume!I70</f>
        <v>1.1831068591082237E-2</v>
      </c>
      <c r="C238" s="9">
        <f>ROA!D433</f>
        <v>0.1074</v>
      </c>
      <c r="D238" s="9">
        <f>Leverage!C450</f>
        <v>0.2772</v>
      </c>
      <c r="E238" s="9">
        <f>'Sales Growth'!C328</f>
        <v>0.1207</v>
      </c>
      <c r="F238" s="4">
        <f>LN(2530000000000)</f>
        <v>28.559240418667976</v>
      </c>
      <c r="G238" s="4">
        <f>DPR!H68</f>
        <v>5.9226000000000001E-2</v>
      </c>
    </row>
    <row r="239" spans="1:7">
      <c r="A239" s="12"/>
      <c r="B239" s="5">
        <f>Volume!J70</f>
        <v>4.5750458588871759E-6</v>
      </c>
      <c r="C239" s="9">
        <f>ROA!E433</f>
        <v>1.95E-2</v>
      </c>
      <c r="D239" s="9">
        <f>Leverage!D450</f>
        <v>0.35849999999999999</v>
      </c>
      <c r="E239" s="9">
        <f>'Sales Growth'!D328</f>
        <v>0.13339999999999999</v>
      </c>
      <c r="F239" s="4">
        <f>LN(2920000000000)</f>
        <v>28.702604732208737</v>
      </c>
      <c r="G239" s="4">
        <f>DPR!I68</f>
        <v>9.9241999999999997E-2</v>
      </c>
    </row>
    <row r="240" spans="1:7">
      <c r="A240" s="12"/>
      <c r="B240" s="5">
        <f>Volume!K70</f>
        <v>9.1500917177743518E-6</v>
      </c>
      <c r="C240" s="9">
        <f>ROA!F433</f>
        <v>1.2E-2</v>
      </c>
      <c r="D240" s="9">
        <f>Leverage!E450</f>
        <v>0.40989999999999999</v>
      </c>
      <c r="E240" s="9">
        <f>'Sales Growth'!E328</f>
        <v>0.1106</v>
      </c>
      <c r="F240" s="4">
        <f>LN(2840000000000)</f>
        <v>28.674825168101663</v>
      </c>
      <c r="G240" s="4">
        <f>DPR!J68</f>
        <v>0.21310799999999999</v>
      </c>
    </row>
    <row r="241" spans="1:7">
      <c r="A241" s="12"/>
      <c r="B241" s="5">
        <f>Volume!L70</f>
        <v>2.3149732045969107E-3</v>
      </c>
      <c r="C241" s="9">
        <f>ROA!G433</f>
        <v>3.0499999999999999E-2</v>
      </c>
      <c r="D241" s="9">
        <f>Leverage!F450</f>
        <v>0.4017</v>
      </c>
      <c r="E241" s="9">
        <f>'Sales Growth'!F328</f>
        <v>0.1071</v>
      </c>
      <c r="F241" s="4">
        <f>LN(3270000000000)</f>
        <v>28.81581110083771</v>
      </c>
      <c r="G241" s="4">
        <f>DPR!K68</f>
        <v>0.22692199999999998</v>
      </c>
    </row>
    <row r="242" spans="1:7">
      <c r="A242" s="12" t="s">
        <v>4582</v>
      </c>
      <c r="B242" s="5">
        <f>Volume!I71</f>
        <v>7.1609740634278269E-3</v>
      </c>
      <c r="C242" s="9">
        <f>ROA!D439</f>
        <v>2.6800000000000001E-2</v>
      </c>
      <c r="D242" s="9">
        <f>Leverage!C456</f>
        <v>0.18149999999999999</v>
      </c>
      <c r="E242" s="9">
        <f>'Sales Growth'!C334</f>
        <v>-2.9000000000000001E-2</v>
      </c>
      <c r="F242" s="8">
        <f>LN(9550000000000)</f>
        <v>29.887562270421189</v>
      </c>
      <c r="G242">
        <f>DPR!H69</f>
        <v>0.24273699999999998</v>
      </c>
    </row>
    <row r="243" spans="1:7">
      <c r="A243" s="12"/>
      <c r="B243" s="5">
        <f>Volume!J71</f>
        <v>3.0378513940603779E-3</v>
      </c>
      <c r="C243" s="9">
        <f>ROA!E439</f>
        <v>4.6899999999999997E-2</v>
      </c>
      <c r="D243" s="9">
        <f>Leverage!D456</f>
        <v>0.31090000000000001</v>
      </c>
      <c r="E243" s="9">
        <f>'Sales Growth'!D334</f>
        <v>5.67E-2</v>
      </c>
      <c r="F243" s="8">
        <f>LN(11880000000000)</f>
        <v>30.105877429863046</v>
      </c>
      <c r="G243">
        <f>DPR!I69</f>
        <v>0.124296</v>
      </c>
    </row>
    <row r="244" spans="1:7">
      <c r="A244" s="12"/>
      <c r="B244" s="5">
        <f>Volume!K71</f>
        <v>8.3960945106392217E-3</v>
      </c>
      <c r="C244" s="9">
        <f>ROA!F439</f>
        <v>9.7999999999999997E-3</v>
      </c>
      <c r="D244" s="9">
        <f>Leverage!E456</f>
        <v>0.4037</v>
      </c>
      <c r="E244" s="9">
        <f>'Sales Growth'!E334</f>
        <v>0.14610000000000001</v>
      </c>
      <c r="F244" s="8">
        <f>LN(15220000000000)</f>
        <v>30.353631468362089</v>
      </c>
      <c r="G244">
        <f>DPR!J69</f>
        <v>0.46138199999999996</v>
      </c>
    </row>
    <row r="245" spans="1:7">
      <c r="A245" s="12"/>
      <c r="B245" s="5">
        <f>Volume!L71</f>
        <v>7.6286851151292001E-3</v>
      </c>
      <c r="C245" s="9">
        <f>ROA!G439</f>
        <v>-3.44E-2</v>
      </c>
      <c r="D245" s="9">
        <f>Leverage!F456</f>
        <v>0.56779999999999997</v>
      </c>
      <c r="E245" s="9">
        <f>'Sales Growth'!F334</f>
        <v>0.24030000000000001</v>
      </c>
      <c r="F245" s="8">
        <f>LN(20360000000000)</f>
        <v>30.644593307610869</v>
      </c>
      <c r="G245">
        <f>DPR!K69</f>
        <v>0.36778</v>
      </c>
    </row>
    <row r="246" spans="1:7">
      <c r="A246" s="12" t="s">
        <v>4583</v>
      </c>
      <c r="B246" s="5">
        <f>Volume!I72</f>
        <v>9.1900541201394897E-4</v>
      </c>
      <c r="C246" s="9">
        <f>ROA!D444</f>
        <v>7.6899999999999996E-2</v>
      </c>
      <c r="D246" s="9">
        <f>Leverage!C461</f>
        <v>8.6999999999999994E-3</v>
      </c>
      <c r="E246" s="9">
        <f>'Sales Growth'!C339</f>
        <v>9.2499999999999999E-2</v>
      </c>
      <c r="F246" s="8">
        <f>LN(2950000000000)</f>
        <v>28.712826286280276</v>
      </c>
      <c r="G246" s="8">
        <f>DPR!H70</f>
        <v>0.68806400000000001</v>
      </c>
    </row>
    <row r="247" spans="1:7">
      <c r="A247" s="12"/>
      <c r="B247" s="5">
        <f>Volume!J72</f>
        <v>2.5071895220963075E-3</v>
      </c>
      <c r="C247" s="9">
        <f>ROA!E444</f>
        <v>7.9000000000000001E-2</v>
      </c>
      <c r="D247" s="9">
        <f>Leverage!D461</f>
        <v>5.1999999999999998E-3</v>
      </c>
      <c r="E247" s="9">
        <f>'Sales Growth'!D339</f>
        <v>0.1056</v>
      </c>
      <c r="F247" s="8">
        <f>LN(3240000000000)</f>
        <v>28.806594445732784</v>
      </c>
      <c r="G247" s="8">
        <f>DPR!I70</f>
        <v>0.69729099999999999</v>
      </c>
    </row>
    <row r="248" spans="1:7">
      <c r="A248" s="12"/>
      <c r="B248" s="5">
        <f>Volume!K72</f>
        <v>8.453065314000148E-4</v>
      </c>
      <c r="C248" s="9">
        <f>ROA!F444</f>
        <v>6.4500000000000002E-2</v>
      </c>
      <c r="D248" s="9">
        <f>Leverage!C454</f>
        <v>2.0299999999999999E-2</v>
      </c>
      <c r="E248" s="9">
        <f>'Sales Growth'!E339</f>
        <v>4.58E-2</v>
      </c>
      <c r="F248" s="8">
        <f>LN(3230000000000)</f>
        <v>28.803503253163115</v>
      </c>
      <c r="G248" s="8">
        <f>DPR!J70</f>
        <v>0.65367200000000003</v>
      </c>
    </row>
    <row r="249" spans="1:7">
      <c r="A249" s="12"/>
      <c r="B249" s="5">
        <f>Volume!L72</f>
        <v>3.9615378925649839E-3</v>
      </c>
      <c r="C249" s="9">
        <f>ROA!G444</f>
        <v>5.6800000000000003E-2</v>
      </c>
      <c r="D249" s="9">
        <f>Leverage!D454</f>
        <v>2.1000000000000001E-2</v>
      </c>
      <c r="E249" s="9">
        <f>'Sales Growth'!F339</f>
        <v>3.9399999999999998E-2</v>
      </c>
      <c r="F249" s="8">
        <f>LN(2960000000000)</f>
        <v>28.716210384264517</v>
      </c>
      <c r="G249" s="8">
        <f>DPR!K70</f>
        <v>0.194051</v>
      </c>
    </row>
    <row r="250" spans="1:7">
      <c r="A250" s="12" t="s">
        <v>4584</v>
      </c>
      <c r="B250" s="5">
        <f>Volume!I73</f>
        <v>1.7467584367964696E-3</v>
      </c>
      <c r="C250" s="9">
        <f>ROA!D446</f>
        <v>3.0800000000000001E-2</v>
      </c>
      <c r="D250" s="9">
        <f>Leverage!C463</f>
        <v>0.75760000000000005</v>
      </c>
      <c r="E250" s="9">
        <f>'Sales Growth'!C340</f>
        <v>0.33710000000000001</v>
      </c>
      <c r="F250" s="8">
        <f>LN(23620000000000)</f>
        <v>30.793114926697765</v>
      </c>
      <c r="G250" s="8">
        <f>DPR!H71</f>
        <v>0.88361299999999987</v>
      </c>
    </row>
    <row r="251" spans="1:7">
      <c r="A251" s="12"/>
      <c r="B251" s="5">
        <f>Volume!J73</f>
        <v>5.0117486237100778E-4</v>
      </c>
      <c r="C251" s="9">
        <f>ROA!E446</f>
        <v>9.4100000000000003E-2</v>
      </c>
      <c r="D251" s="9">
        <f>Leverage!D463</f>
        <v>0.79620000000000002</v>
      </c>
      <c r="E251" s="9">
        <f>'Sales Growth'!D340</f>
        <v>0.20019999999999999</v>
      </c>
      <c r="F251" s="8">
        <f>LN(25600000000000)</f>
        <v>30.873613467414064</v>
      </c>
      <c r="G251" s="8">
        <f>DPR!I71</f>
        <v>1.385545</v>
      </c>
    </row>
    <row r="252" spans="1:7">
      <c r="A252" s="12"/>
      <c r="B252" s="5">
        <f>Volume!K73</f>
        <v>1.8474459373631056E-3</v>
      </c>
      <c r="C252" s="9">
        <f>ROA!F446</f>
        <v>2.4899999999999999E-2</v>
      </c>
      <c r="D252" s="9">
        <f>Leverage!E463</f>
        <v>0.67310000000000003</v>
      </c>
      <c r="E252" s="9">
        <f>'Sales Growth'!E340</f>
        <v>0.1012</v>
      </c>
      <c r="F252" s="8">
        <f>LN(29110000000000)</f>
        <v>31.002102873686081</v>
      </c>
      <c r="G252" s="8">
        <f>DPR!J71</f>
        <v>1.766831</v>
      </c>
    </row>
    <row r="253" spans="1:7">
      <c r="A253" s="12"/>
      <c r="B253" s="5">
        <f>Volume!L73</f>
        <v>2.3169438332637112E-3</v>
      </c>
      <c r="C253" s="9">
        <f>ROA!G446</f>
        <v>2.7300000000000001E-2</v>
      </c>
      <c r="D253" s="9">
        <f>Leverage!F463</f>
        <v>0.74370000000000003</v>
      </c>
      <c r="E253" s="9">
        <f>'Sales Growth'!F340</f>
        <v>7.2999999999999995E-2</v>
      </c>
      <c r="F253" s="8">
        <f>LN(30870000000000)</f>
        <v>31.060805954442618</v>
      </c>
      <c r="G253" s="8">
        <f>DPR!K71</f>
        <v>1.103183</v>
      </c>
    </row>
    <row r="254" spans="1:7">
      <c r="A254" s="12" t="s">
        <v>4585</v>
      </c>
      <c r="B254" s="5">
        <f>Volume!I74</f>
        <v>8.4051221242815164E-4</v>
      </c>
      <c r="C254" s="9">
        <f>ROA!D460</f>
        <v>0.1182</v>
      </c>
      <c r="D254" s="9">
        <f>Leverage!C478</f>
        <v>0.22040000000000001</v>
      </c>
      <c r="E254" s="9">
        <f>'Sales Growth'!C349</f>
        <v>9.0899999999999995E-2</v>
      </c>
      <c r="F254" s="8">
        <f>LN(4980000000000)</f>
        <v>29.236451006965108</v>
      </c>
      <c r="G254" s="8">
        <f>DPR!H72</f>
        <v>0.30340300000000003</v>
      </c>
    </row>
    <row r="255" spans="1:7">
      <c r="A255" s="12"/>
      <c r="B255" s="5">
        <f>Volume!J74</f>
        <v>2.0650885037930195E-3</v>
      </c>
      <c r="C255" s="9">
        <f>ROA!E460</f>
        <v>9.0999999999999998E-2</v>
      </c>
      <c r="D255" s="9">
        <f>Leverage!D478</f>
        <v>0.23139999999999999</v>
      </c>
      <c r="E255" s="9">
        <f>'Sales Growth'!D349</f>
        <v>5.8200000000000002E-2</v>
      </c>
      <c r="F255" s="8">
        <f>LN(5460000000000)</f>
        <v>29.328469905685363</v>
      </c>
      <c r="G255" s="8">
        <f>DPR!I72</f>
        <v>0.29352899999999998</v>
      </c>
    </row>
    <row r="256" spans="1:7">
      <c r="A256" s="12"/>
      <c r="B256" s="5">
        <f>Volume!K74</f>
        <v>3.5072931697072732E-4</v>
      </c>
      <c r="C256" s="9">
        <f>ROA!F460</f>
        <v>9.74E-2</v>
      </c>
      <c r="D256" s="9">
        <f>Leverage!E478</f>
        <v>0.2243</v>
      </c>
      <c r="E256" s="9">
        <f>'Sales Growth'!E349</f>
        <v>4.4699999999999997E-2</v>
      </c>
      <c r="F256" s="8">
        <f>LN(6040000000000)</f>
        <v>29.429425127875273</v>
      </c>
      <c r="G256" s="8">
        <f>DPR!J72</f>
        <v>0.29884499999999997</v>
      </c>
    </row>
    <row r="257" spans="1:7">
      <c r="A257" s="12"/>
      <c r="B257" s="5">
        <f>Volume!L74</f>
        <v>1.8453171802601063E-2</v>
      </c>
      <c r="C257" s="9">
        <f>ROA!G460</f>
        <v>9.4500000000000001E-2</v>
      </c>
      <c r="D257" s="9">
        <f>Leverage!F478</f>
        <v>0.2024</v>
      </c>
      <c r="E257" s="9">
        <f>'Sales Growth'!F349</f>
        <v>3.8399999999999997E-2</v>
      </c>
      <c r="F257" s="8">
        <f>LN(6290000000000)</f>
        <v>29.469982186640898</v>
      </c>
      <c r="G257" s="8">
        <f>DPR!K72</f>
        <v>0.24897600000000003</v>
      </c>
    </row>
    <row r="258" spans="1:7">
      <c r="A258" s="12" t="s">
        <v>4586</v>
      </c>
      <c r="B258" s="5">
        <f>Volume!I75</f>
        <v>3.1786992221356229E-3</v>
      </c>
      <c r="C258" s="9">
        <f>ROA!D463</f>
        <v>0.39360000000000001</v>
      </c>
      <c r="D258" s="9">
        <f>Leverage!C482</f>
        <v>0.1429</v>
      </c>
      <c r="E258" s="9">
        <f>'Sales Growth'!C352</f>
        <v>0.1134</v>
      </c>
      <c r="F258" s="8">
        <f>LN(16750000000000)</f>
        <v>30.449419374199625</v>
      </c>
      <c r="G258">
        <f>DPR!H73</f>
        <v>0.95474799999999993</v>
      </c>
    </row>
    <row r="259" spans="1:7">
      <c r="A259" s="12"/>
      <c r="B259" s="5">
        <f>Volume!J75</f>
        <v>1.1107981897133276E-3</v>
      </c>
      <c r="C259" s="9">
        <f>ROA!E463</f>
        <v>0.39290000000000003</v>
      </c>
      <c r="D259" s="9">
        <f>Leverage!D482</f>
        <v>0.1825</v>
      </c>
      <c r="E259" s="9">
        <f>'Sales Growth'!D352</f>
        <v>8.6499999999999994E-2</v>
      </c>
      <c r="F259" s="8">
        <f>LN(18910000000000)</f>
        <v>30.570711998598913</v>
      </c>
      <c r="G259">
        <f>DPR!I73</f>
        <v>0.95410099999999998</v>
      </c>
    </row>
    <row r="260" spans="1:7">
      <c r="A260" s="12"/>
      <c r="B260" s="5">
        <f>Volume!K75</f>
        <v>1.2295627760348783E-3</v>
      </c>
      <c r="C260" s="9">
        <f>ROA!F463</f>
        <v>0.46289999999999998</v>
      </c>
      <c r="D260" s="9">
        <f>Leverage!E482</f>
        <v>7.3599999999999999E-2</v>
      </c>
      <c r="E260" s="9">
        <f>'Sales Growth'!E352</f>
        <v>6.4100000000000004E-2</v>
      </c>
      <c r="F260" s="8">
        <f>LN(20330000000000)</f>
        <v>30.643118743568802</v>
      </c>
      <c r="G260">
        <f>DPR!J73</f>
        <v>0.20361700000000002</v>
      </c>
    </row>
    <row r="261" spans="1:7">
      <c r="A261" s="12"/>
      <c r="B261" s="5">
        <f>Volume!L75</f>
        <v>2.00851873926152E-3</v>
      </c>
      <c r="C261" s="9">
        <f>ROA!G463</f>
        <v>0.36080000000000001</v>
      </c>
      <c r="D261" s="9">
        <f>Leverage!F482</f>
        <v>0.192</v>
      </c>
      <c r="E261" s="9">
        <f>'Sales Growth'!F352</f>
        <v>4.4999999999999998E-2</v>
      </c>
      <c r="F261" s="8">
        <f>LN(20650000000000)</f>
        <v>30.658736435335591</v>
      </c>
      <c r="G261">
        <f>DPR!K73</f>
        <v>0.15164800000000001</v>
      </c>
    </row>
    <row r="262" spans="1:7">
      <c r="A262" s="12" t="s">
        <v>4587</v>
      </c>
      <c r="B262" s="5">
        <f>Volume!I76</f>
        <v>2.8924732443808983E-3</v>
      </c>
      <c r="C262" s="9">
        <f>ROA!D464</f>
        <v>7.9600000000000004E-2</v>
      </c>
      <c r="D262" s="9">
        <f>Leverage!C483</f>
        <v>1.7100000000000001E-2</v>
      </c>
      <c r="E262" s="9">
        <f>'Sales Growth'!C353</f>
        <v>-3.5799999999999998E-2</v>
      </c>
      <c r="F262" s="8">
        <f>LN(63990000000000)</f>
        <v>31.789747937079916</v>
      </c>
      <c r="G262" s="8">
        <f>DPR!H74</f>
        <v>0.4</v>
      </c>
    </row>
    <row r="263" spans="1:7">
      <c r="A263" s="12"/>
      <c r="B263" s="5">
        <f>Volume!J76</f>
        <v>2.7203810147380992E-3</v>
      </c>
      <c r="C263" s="9">
        <f>ROA!E464</f>
        <v>0.1012</v>
      </c>
      <c r="D263" s="9">
        <f>Leverage!D483</f>
        <v>5.6399999999999999E-2</v>
      </c>
      <c r="E263" s="9">
        <f>'Sales Growth'!D353</f>
        <v>4.4499999999999998E-2</v>
      </c>
      <c r="F263" s="8">
        <f>LN(82260000000000)</f>
        <v>32.040906078730828</v>
      </c>
      <c r="G263" s="8">
        <f>DPR!I74</f>
        <v>0.400036</v>
      </c>
    </row>
    <row r="264" spans="1:7">
      <c r="A264" s="12"/>
      <c r="B264" s="5">
        <f>Volume!K76</f>
        <v>1.1980266755902578E-3</v>
      </c>
      <c r="C264" s="9">
        <f>ROA!F464</f>
        <v>0.11210000000000001</v>
      </c>
      <c r="D264" s="9">
        <f>Leverage!E483</f>
        <v>8.8099999999999998E-2</v>
      </c>
      <c r="E264" s="9">
        <f>'Sales Growth'!E353</f>
        <v>0.12429999999999999</v>
      </c>
      <c r="F264" s="8">
        <f>LN(116280000000000)</f>
        <v>32.387022191619224</v>
      </c>
      <c r="G264" s="8">
        <f>DPR!J74</f>
        <v>0.39999200000000001</v>
      </c>
    </row>
    <row r="265" spans="1:7">
      <c r="A265" s="12"/>
      <c r="B265" s="5">
        <f>Volume!L76</f>
        <v>1.787111615521379E-3</v>
      </c>
      <c r="C265" s="9">
        <f>ROA!G464</f>
        <v>9.9199999999999997E-2</v>
      </c>
      <c r="D265" s="9">
        <f>Leverage!F483</f>
        <v>0.12520000000000001</v>
      </c>
      <c r="E265" s="9">
        <f>'Sales Growth'!F353</f>
        <v>0.11550000000000001</v>
      </c>
      <c r="F265" s="8">
        <f>LN(111710000000000)</f>
        <v>32.346927343511304</v>
      </c>
      <c r="G265" s="8">
        <f>DPR!K74</f>
        <v>0.24399499999999999</v>
      </c>
    </row>
    <row r="266" spans="1:7">
      <c r="A266" s="12" t="s">
        <v>4588</v>
      </c>
      <c r="B266" s="5">
        <f>Volume!I77</f>
        <v>2.8306471857698196E-3</v>
      </c>
      <c r="C266" s="9">
        <f>ROA!D472</f>
        <v>3.73E-2</v>
      </c>
      <c r="D266" s="9">
        <f>Leverage!C491</f>
        <v>0.35749999999999998</v>
      </c>
      <c r="E266" s="9">
        <f>'Sales Growth'!C359</f>
        <v>0.2858</v>
      </c>
      <c r="F266" s="8">
        <f>LN(611430000000000)</f>
        <v>34.046821591894947</v>
      </c>
      <c r="G266" s="8">
        <f>DPR!H75</f>
        <v>0.3</v>
      </c>
    </row>
    <row r="267" spans="1:7">
      <c r="A267" s="12"/>
      <c r="B267" s="5">
        <f>Volume!J77</f>
        <v>7.4703056764683978E-3</v>
      </c>
      <c r="C267" s="9">
        <f>ROA!E472</f>
        <v>4.87E-2</v>
      </c>
      <c r="D267" s="9">
        <f>Leverage!D491</f>
        <v>0.4375</v>
      </c>
      <c r="E267" s="9">
        <f>'Sales Growth'!D359</f>
        <v>0.42380000000000001</v>
      </c>
      <c r="F267" s="8">
        <f>LN(97900000000000)</f>
        <v>32.214967665465011</v>
      </c>
      <c r="G267" s="8">
        <f>DPR!I75</f>
        <v>0.2</v>
      </c>
    </row>
    <row r="268" spans="1:7">
      <c r="A268" s="12"/>
      <c r="B268" s="5">
        <f>Volume!K77</f>
        <v>6.2816507662754005E-3</v>
      </c>
      <c r="C268" s="9">
        <f>ROA!F472</f>
        <v>3.5700000000000003E-2</v>
      </c>
      <c r="D268" s="9">
        <f>Leverage!E491</f>
        <v>0.52039999999999997</v>
      </c>
      <c r="E268" s="9">
        <f>'Sales Growth'!E359</f>
        <v>0.41970000000000002</v>
      </c>
      <c r="F268" s="8">
        <f>LN(124390000000000)</f>
        <v>32.454442907150423</v>
      </c>
      <c r="G268" s="8">
        <f>DPR!J75</f>
        <v>0.15</v>
      </c>
    </row>
    <row r="269" spans="1:7">
      <c r="A269" s="12"/>
      <c r="B269" s="5">
        <f>Volume!L77</f>
        <v>4.4357651301910198E-3</v>
      </c>
      <c r="C269" s="9">
        <f>ROA!G472</f>
        <v>7.6E-3</v>
      </c>
      <c r="D269" s="9">
        <f>Leverage!F491</f>
        <v>0.56510000000000005</v>
      </c>
      <c r="E269" s="9">
        <f>'Sales Growth'!F359</f>
        <v>0.33589999999999998</v>
      </c>
      <c r="F269" s="8">
        <f>LN(122590000000000)</f>
        <v>32.439866570035448</v>
      </c>
      <c r="G269" s="8">
        <f>DPR!K75</f>
        <v>0.05</v>
      </c>
    </row>
    <row r="270" spans="1:7">
      <c r="A270" s="12" t="s">
        <v>4589</v>
      </c>
      <c r="B270" s="5">
        <f>Volume!I78</f>
        <v>2.0686870041616051E-3</v>
      </c>
      <c r="C270" s="9">
        <f>ROA!D476</f>
        <v>5.9799999999999999E-2</v>
      </c>
      <c r="D270" s="9">
        <f>Leverage!C495</f>
        <v>0.14360000000000001</v>
      </c>
      <c r="E270" s="9">
        <f>'Sales Growth'!C362</f>
        <v>0.18110000000000001</v>
      </c>
      <c r="F270" s="8">
        <f>LN(4660000000000)</f>
        <v>29.170036564066102</v>
      </c>
      <c r="G270" s="8">
        <f>DPR!H76</f>
        <v>0.29172199999999998</v>
      </c>
    </row>
    <row r="271" spans="1:7">
      <c r="A271" s="12"/>
      <c r="B271" s="5">
        <f>Volume!J78</f>
        <v>1.7578659183944193E-3</v>
      </c>
      <c r="C271" s="9">
        <f>ROA!E476</f>
        <v>5.7500000000000002E-2</v>
      </c>
      <c r="D271" s="9">
        <f>Leverage!D495</f>
        <v>0.20449999999999999</v>
      </c>
      <c r="E271" s="9">
        <f>'Sales Growth'!D362</f>
        <v>0.2407</v>
      </c>
      <c r="F271" s="8">
        <f>LN(7070000000000)</f>
        <v>29.586881595837031</v>
      </c>
      <c r="G271" s="8">
        <f>DPR!I76</f>
        <v>0.29312300000000002</v>
      </c>
    </row>
    <row r="272" spans="1:7">
      <c r="A272" s="12"/>
      <c r="B272" s="5">
        <f>Volume!K78</f>
        <v>9.9669961502677675E-3</v>
      </c>
      <c r="C272" s="9">
        <f>ROA!F476</f>
        <v>6.0999999999999999E-2</v>
      </c>
      <c r="D272" s="9">
        <f>Leverage!E495</f>
        <v>0.2117</v>
      </c>
      <c r="E272" s="9">
        <f>'Sales Growth'!E362</f>
        <v>0.23880000000000001</v>
      </c>
      <c r="F272" s="8">
        <f>LN(8880000000000)</f>
        <v>29.814822672932628</v>
      </c>
      <c r="G272" s="8">
        <f>DPR!J76</f>
        <v>0.343499</v>
      </c>
    </row>
    <row r="273" spans="1:7">
      <c r="A273" s="12"/>
      <c r="B273" s="5">
        <f>Volume!L78</f>
        <v>2.2413653851433755E-3</v>
      </c>
      <c r="C273" s="9">
        <f>ROA!G476</f>
        <v>5.33E-2</v>
      </c>
      <c r="D273" s="9">
        <f>Leverage!F495</f>
        <v>0.28029999999999999</v>
      </c>
      <c r="E273" s="9">
        <f>'Sales Growth'!F362</f>
        <v>0.1953</v>
      </c>
      <c r="F273" s="8">
        <f>LN(10340000000000)</f>
        <v>29.967040985008833</v>
      </c>
      <c r="G273" s="8">
        <f>DPR!K76</f>
        <v>0.24399499999999999</v>
      </c>
    </row>
    <row r="274" spans="1:7">
      <c r="A274" s="12" t="s">
        <v>4590</v>
      </c>
      <c r="B274" s="5">
        <f>Volume!I79</f>
        <v>6.317801956597229E-3</v>
      </c>
      <c r="C274" s="9">
        <f>ROA!D477</f>
        <v>4.1599999999999998E-2</v>
      </c>
      <c r="D274" s="9">
        <f>Leverage!C496</f>
        <v>0.21510000000000001</v>
      </c>
      <c r="E274" s="9">
        <f>'Sales Growth'!C363</f>
        <v>0.1542</v>
      </c>
      <c r="F274" s="8">
        <f>LN(31360000000000)</f>
        <v>31.076554311410757</v>
      </c>
      <c r="G274" s="8">
        <f>DPR!H77</f>
        <v>0.280279</v>
      </c>
    </row>
    <row r="275" spans="1:7">
      <c r="A275" s="12"/>
      <c r="B275" s="5">
        <f>Volume!J79</f>
        <v>1.2131456080294275E-2</v>
      </c>
      <c r="C275" s="9">
        <f>ROA!E477</f>
        <v>3.1199999999999999E-2</v>
      </c>
      <c r="D275" s="9">
        <f>Leverage!D496</f>
        <v>0.1973</v>
      </c>
      <c r="E275" s="9">
        <f>'Sales Growth'!D363</f>
        <v>0.23250000000000001</v>
      </c>
      <c r="F275" s="8">
        <f>LN(45680000000000)</f>
        <v>31.452681681276303</v>
      </c>
      <c r="G275" s="8">
        <f>DPR!I77</f>
        <v>0.60472099999999995</v>
      </c>
    </row>
    <row r="276" spans="1:7">
      <c r="A276" s="12"/>
      <c r="B276" s="5">
        <f>Volume!K79</f>
        <v>6.7294163264967457E-3</v>
      </c>
      <c r="C276" s="9">
        <f>ROA!F477</f>
        <v>3.3000000000000002E-2</v>
      </c>
      <c r="D276" s="9">
        <f>Leverage!E496</f>
        <v>0.22939999999999999</v>
      </c>
      <c r="E276" s="9">
        <f>'Sales Growth'!E363</f>
        <v>0.2306</v>
      </c>
      <c r="F276" s="8">
        <f>LN(59230000000000)</f>
        <v>31.712449286217421</v>
      </c>
      <c r="G276" s="8">
        <f>DPR!J77</f>
        <v>0.36657199999999995</v>
      </c>
    </row>
    <row r="277" spans="1:7">
      <c r="A277" s="12"/>
      <c r="B277" s="5">
        <f>Volume!L79</f>
        <v>1.1582636920428253E-2</v>
      </c>
      <c r="C277" s="9">
        <f>ROA!G477</f>
        <v>3.7699999999999997E-2</v>
      </c>
      <c r="D277" s="9">
        <f>Leverage!F496</f>
        <v>0.24279999999999999</v>
      </c>
      <c r="E277" s="9">
        <f>'Sales Growth'!F363</f>
        <v>0.19550000000000001</v>
      </c>
      <c r="F277" s="8">
        <f>LN(62110000000000)</f>
        <v>31.759928122499758</v>
      </c>
      <c r="G277" s="8">
        <f>DPR!K77</f>
        <v>0.94056000000000006</v>
      </c>
    </row>
    <row r="278" spans="1:7">
      <c r="A278" s="12" t="s">
        <v>4591</v>
      </c>
      <c r="B278" s="5">
        <f>Volume!I80</f>
        <v>6.8277460539434669E-3</v>
      </c>
      <c r="C278" s="9">
        <f>ROA!D478</f>
        <v>0.17150000000000001</v>
      </c>
      <c r="D278" s="9">
        <f>Leverage!C497</f>
        <v>0.2172</v>
      </c>
      <c r="E278" s="9">
        <f>'Sales Growth'!C364</f>
        <v>0.34910000000000002</v>
      </c>
      <c r="F278" s="8">
        <f>LN(1430000000000)</f>
        <v>27.988695560200362</v>
      </c>
      <c r="G278" s="8">
        <f>DPR!H78</f>
        <v>0.357433</v>
      </c>
    </row>
    <row r="279" spans="1:7">
      <c r="A279" s="12"/>
      <c r="B279" s="5">
        <f>Volume!J80</f>
        <v>4.5449248339354386E-4</v>
      </c>
      <c r="C279" s="9">
        <f>ROA!E478</f>
        <v>7.6200000000000004E-2</v>
      </c>
      <c r="D279" s="9">
        <f>Leverage!D497</f>
        <v>0.1845</v>
      </c>
      <c r="E279" s="9">
        <f>'Sales Growth'!D364</f>
        <v>0.3745</v>
      </c>
      <c r="F279" s="8">
        <f>LN(1390000000000)</f>
        <v>27.960324863071147</v>
      </c>
      <c r="G279" s="8">
        <f>DPR!I78</f>
        <v>0.24925300000000003</v>
      </c>
    </row>
    <row r="280" spans="1:7">
      <c r="A280" s="12"/>
      <c r="B280" s="5">
        <f>Volume!K80</f>
        <v>1.8904815548563363E-3</v>
      </c>
      <c r="C280" s="9">
        <f>ROA!F478</f>
        <v>7.2300000000000003E-2</v>
      </c>
      <c r="D280" s="9">
        <f>Leverage!D499</f>
        <v>0.24149999999999999</v>
      </c>
      <c r="E280" s="9">
        <f>'Sales Growth'!E364</f>
        <v>9.4299999999999995E-2</v>
      </c>
      <c r="F280" s="8">
        <f>LN(1170000000000)</f>
        <v>27.788024864738212</v>
      </c>
      <c r="G280" s="8">
        <f>DPR!J78</f>
        <v>0.642204</v>
      </c>
    </row>
    <row r="281" spans="1:7">
      <c r="A281" s="12"/>
      <c r="B281" s="5">
        <f>Volume!L80</f>
        <v>2.2025404964456357E-3</v>
      </c>
      <c r="C281" s="9">
        <f>ROA!G478</f>
        <v>0.16819999999999999</v>
      </c>
      <c r="D281" s="9">
        <f>Leverage!E499</f>
        <v>0.22950000000000001</v>
      </c>
      <c r="E281" s="9">
        <f>'Sales Growth'!F364</f>
        <v>-2.6200000000000001E-2</v>
      </c>
      <c r="F281" s="8">
        <f>LN(1320000000000)</f>
        <v>27.908652852526828</v>
      </c>
      <c r="G281" s="8">
        <f>DPR!K78</f>
        <v>0.27615400000000001</v>
      </c>
    </row>
  </sheetData>
  <mergeCells count="70">
    <mergeCell ref="A262:A265"/>
    <mergeCell ref="A266:A269"/>
    <mergeCell ref="A270:A273"/>
    <mergeCell ref="A274:A277"/>
    <mergeCell ref="A278:A281"/>
    <mergeCell ref="A242:A245"/>
    <mergeCell ref="A246:A249"/>
    <mergeCell ref="A250:A253"/>
    <mergeCell ref="A254:A257"/>
    <mergeCell ref="A258:A261"/>
    <mergeCell ref="A74:A77"/>
    <mergeCell ref="A50:A53"/>
    <mergeCell ref="A54:A57"/>
    <mergeCell ref="A58:A61"/>
    <mergeCell ref="A62:A65"/>
    <mergeCell ref="A66:A69"/>
    <mergeCell ref="A70:A73"/>
    <mergeCell ref="A46:A49"/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0:A113"/>
    <mergeCell ref="A114:A117"/>
    <mergeCell ref="A118:A121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78:A181"/>
    <mergeCell ref="A182:A185"/>
    <mergeCell ref="A186:A189"/>
    <mergeCell ref="A190:A193"/>
    <mergeCell ref="A194:A197"/>
    <mergeCell ref="A198:A201"/>
    <mergeCell ref="A202:A205"/>
    <mergeCell ref="A206:A209"/>
    <mergeCell ref="A210:A213"/>
    <mergeCell ref="A214:A217"/>
    <mergeCell ref="A238:A241"/>
    <mergeCell ref="A218:A221"/>
    <mergeCell ref="A222:A225"/>
    <mergeCell ref="A226:A229"/>
    <mergeCell ref="A230:A233"/>
    <mergeCell ref="A234:A2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Volume</vt:lpstr>
      <vt:lpstr>DPR</vt:lpstr>
      <vt:lpstr>Cash Flow</vt:lpstr>
      <vt:lpstr>Total Assets</vt:lpstr>
      <vt:lpstr>ROA</vt:lpstr>
      <vt:lpstr>Sales Growth</vt:lpstr>
      <vt:lpstr>Investment</vt:lpstr>
      <vt:lpstr>Leverage</vt:lpstr>
      <vt:lpstr>Kompilasi Data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</dc:creator>
  <cp:lastModifiedBy>ASUS</cp:lastModifiedBy>
  <dcterms:created xsi:type="dcterms:W3CDTF">2021-05-07T03:15:38Z</dcterms:created>
  <dcterms:modified xsi:type="dcterms:W3CDTF">2021-05-30T16:58:00Z</dcterms:modified>
</cp:coreProperties>
</file>